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.Maciene\Desktop\SVP_2026_2028\Sprendimas\Viešinimui\"/>
    </mc:Choice>
  </mc:AlternateContent>
  <xr:revisionPtr revIDLastSave="0" documentId="13_ncr:1_{4277BE3E-9284-4928-A6D7-E54782E33469}" xr6:coauthVersionLast="47" xr6:coauthVersionMax="47" xr10:uidLastSave="{00000000-0000-0000-0000-000000000000}"/>
  <bookViews>
    <workbookView xWindow="1500" yWindow="1500" windowWidth="17280" windowHeight="8880" xr2:uid="{00000000-000D-0000-FFFF-FFFF00000000}"/>
  </bookViews>
  <sheets>
    <sheet name="Planas" sheetId="2" r:id="rId1"/>
  </sheets>
  <calcPr calcId="191029"/>
</workbook>
</file>

<file path=xl/calcChain.xml><?xml version="1.0" encoding="utf-8"?>
<calcChain xmlns="http://schemas.openxmlformats.org/spreadsheetml/2006/main">
  <c r="F446" i="2" l="1"/>
  <c r="G446" i="2"/>
  <c r="E446" i="2"/>
  <c r="E14" i="2" l="1"/>
  <c r="F14" i="2"/>
  <c r="G14" i="2"/>
  <c r="E21" i="2"/>
  <c r="F21" i="2"/>
  <c r="G21" i="2"/>
  <c r="E28" i="2"/>
  <c r="F28" i="2"/>
  <c r="G28" i="2"/>
  <c r="E30" i="2"/>
  <c r="F30" i="2"/>
  <c r="G30" i="2"/>
  <c r="E38" i="2"/>
  <c r="F38" i="2"/>
  <c r="G38" i="2"/>
  <c r="E42" i="2"/>
  <c r="F42" i="2"/>
  <c r="G42" i="2"/>
  <c r="E46" i="2"/>
  <c r="F46" i="2"/>
  <c r="G46" i="2"/>
  <c r="E50" i="2"/>
  <c r="F50" i="2"/>
  <c r="G50" i="2"/>
  <c r="E56" i="2"/>
  <c r="F56" i="2"/>
  <c r="G56" i="2"/>
  <c r="E66" i="2"/>
  <c r="F66" i="2"/>
  <c r="G66" i="2"/>
  <c r="E69" i="2"/>
  <c r="F69" i="2"/>
  <c r="G69" i="2"/>
  <c r="E71" i="2"/>
  <c r="F71" i="2"/>
  <c r="G71" i="2"/>
  <c r="E94" i="2"/>
  <c r="F94" i="2"/>
  <c r="G94" i="2"/>
  <c r="E98" i="2"/>
  <c r="F98" i="2"/>
  <c r="G98" i="2"/>
  <c r="E105" i="2"/>
  <c r="F105" i="2"/>
  <c r="G105" i="2"/>
  <c r="E108" i="2"/>
  <c r="F108" i="2"/>
  <c r="G108" i="2"/>
  <c r="E117" i="2"/>
  <c r="F117" i="2"/>
  <c r="G117" i="2"/>
  <c r="E120" i="2"/>
  <c r="F120" i="2"/>
  <c r="G120" i="2"/>
  <c r="E131" i="2"/>
  <c r="F131" i="2"/>
  <c r="G131" i="2"/>
  <c r="E140" i="2"/>
  <c r="F140" i="2"/>
  <c r="G140" i="2"/>
  <c r="E144" i="2"/>
  <c r="F144" i="2"/>
  <c r="G144" i="2"/>
  <c r="E149" i="2"/>
  <c r="F149" i="2"/>
  <c r="G149" i="2"/>
  <c r="E153" i="2"/>
  <c r="F153" i="2"/>
  <c r="G153" i="2"/>
  <c r="E160" i="2"/>
  <c r="F160" i="2"/>
  <c r="G160" i="2"/>
  <c r="E162" i="2"/>
  <c r="F162" i="2"/>
  <c r="G162" i="2"/>
  <c r="E165" i="2"/>
  <c r="F165" i="2"/>
  <c r="G165" i="2"/>
  <c r="E167" i="2"/>
  <c r="F167" i="2"/>
  <c r="G167" i="2"/>
  <c r="E176" i="2"/>
  <c r="F176" i="2"/>
  <c r="G176" i="2"/>
  <c r="E182" i="2"/>
  <c r="F182" i="2"/>
  <c r="G182" i="2"/>
  <c r="E185" i="2"/>
  <c r="F185" i="2"/>
  <c r="G185" i="2"/>
  <c r="E188" i="2"/>
  <c r="F188" i="2"/>
  <c r="G188" i="2"/>
  <c r="E192" i="2"/>
  <c r="F192" i="2"/>
  <c r="G192" i="2"/>
  <c r="E194" i="2"/>
  <c r="F194" i="2"/>
  <c r="G194" i="2"/>
  <c r="E196" i="2"/>
  <c r="F196" i="2"/>
  <c r="G196" i="2"/>
  <c r="E199" i="2"/>
  <c r="F199" i="2"/>
  <c r="G199" i="2"/>
  <c r="E201" i="2"/>
  <c r="F201" i="2"/>
  <c r="G201" i="2"/>
  <c r="E205" i="2"/>
  <c r="E203" i="2" s="1"/>
  <c r="F205" i="2"/>
  <c r="F203" i="2" s="1"/>
  <c r="G205" i="2"/>
  <c r="G203" i="2" s="1"/>
  <c r="E210" i="2"/>
  <c r="F210" i="2"/>
  <c r="G210" i="2"/>
  <c r="E212" i="2"/>
  <c r="F212" i="2"/>
  <c r="G212" i="2"/>
  <c r="E230" i="2"/>
  <c r="F230" i="2"/>
  <c r="G230" i="2"/>
  <c r="E233" i="2"/>
  <c r="F233" i="2"/>
  <c r="G233" i="2"/>
  <c r="E239" i="2"/>
  <c r="F239" i="2"/>
  <c r="G239" i="2"/>
  <c r="E242" i="2"/>
  <c r="F242" i="2"/>
  <c r="G242" i="2"/>
  <c r="E244" i="2"/>
  <c r="F244" i="2"/>
  <c r="G244" i="2"/>
  <c r="E259" i="2"/>
  <c r="F259" i="2"/>
  <c r="G259" i="2"/>
  <c r="E263" i="2"/>
  <c r="F263" i="2"/>
  <c r="G263" i="2"/>
  <c r="E268" i="2"/>
  <c r="F268" i="2"/>
  <c r="G268" i="2"/>
  <c r="E271" i="2"/>
  <c r="F271" i="2"/>
  <c r="G271" i="2"/>
  <c r="E276" i="2"/>
  <c r="F276" i="2"/>
  <c r="G276" i="2"/>
  <c r="E278" i="2"/>
  <c r="F278" i="2"/>
  <c r="G278" i="2"/>
  <c r="E282" i="2"/>
  <c r="F282" i="2"/>
  <c r="G282" i="2"/>
  <c r="E287" i="2"/>
  <c r="F287" i="2"/>
  <c r="G287" i="2"/>
  <c r="E301" i="2"/>
  <c r="F301" i="2"/>
  <c r="G301" i="2"/>
  <c r="E304" i="2"/>
  <c r="F304" i="2"/>
  <c r="G304" i="2"/>
  <c r="E307" i="2"/>
  <c r="F307" i="2"/>
  <c r="G307" i="2"/>
  <c r="E311" i="2"/>
  <c r="F311" i="2"/>
  <c r="G311" i="2"/>
  <c r="E314" i="2"/>
  <c r="F314" i="2"/>
  <c r="G314" i="2"/>
  <c r="E323" i="2"/>
  <c r="F323" i="2"/>
  <c r="G323" i="2"/>
  <c r="E326" i="2"/>
  <c r="F326" i="2"/>
  <c r="G326" i="2"/>
  <c r="E331" i="2"/>
  <c r="F331" i="2"/>
  <c r="G331" i="2"/>
  <c r="E335" i="2"/>
  <c r="F335" i="2"/>
  <c r="G335" i="2"/>
  <c r="E344" i="2"/>
  <c r="F344" i="2"/>
  <c r="G344" i="2"/>
  <c r="E352" i="2"/>
  <c r="F352" i="2"/>
  <c r="G352" i="2"/>
  <c r="E358" i="2"/>
  <c r="F358" i="2"/>
  <c r="G358" i="2"/>
  <c r="E368" i="2"/>
  <c r="F368" i="2"/>
  <c r="G368" i="2"/>
  <c r="E379" i="2"/>
  <c r="F379" i="2"/>
  <c r="G379" i="2"/>
  <c r="E382" i="2"/>
  <c r="F382" i="2"/>
  <c r="G382" i="2"/>
  <c r="E390" i="2"/>
  <c r="F390" i="2"/>
  <c r="G390" i="2"/>
  <c r="E399" i="2"/>
  <c r="F399" i="2"/>
  <c r="G399" i="2"/>
  <c r="E403" i="2"/>
  <c r="F403" i="2"/>
  <c r="G403" i="2"/>
  <c r="E409" i="2"/>
  <c r="F409" i="2"/>
  <c r="G409" i="2"/>
  <c r="E413" i="2"/>
  <c r="F413" i="2"/>
  <c r="G413" i="2"/>
  <c r="E416" i="2"/>
  <c r="F416" i="2"/>
  <c r="G416" i="2"/>
  <c r="E428" i="2"/>
  <c r="F428" i="2"/>
  <c r="G428" i="2"/>
  <c r="E434" i="2"/>
  <c r="F434" i="2"/>
  <c r="G434" i="2"/>
  <c r="E436" i="2"/>
  <c r="F436" i="2"/>
  <c r="G436" i="2"/>
  <c r="E439" i="2"/>
  <c r="F439" i="2"/>
  <c r="G439" i="2"/>
  <c r="E442" i="2"/>
  <c r="F442" i="2"/>
  <c r="G442" i="2"/>
  <c r="E449" i="2"/>
  <c r="F449" i="2"/>
  <c r="G449" i="2"/>
  <c r="E454" i="2"/>
  <c r="F454" i="2"/>
  <c r="G454" i="2"/>
  <c r="E458" i="2"/>
  <c r="F458" i="2"/>
  <c r="G458" i="2"/>
  <c r="E462" i="2"/>
  <c r="F462" i="2"/>
  <c r="G462" i="2"/>
  <c r="E464" i="2"/>
  <c r="F464" i="2"/>
  <c r="G464" i="2"/>
  <c r="E468" i="2"/>
  <c r="F468" i="2"/>
  <c r="G468" i="2"/>
  <c r="E475" i="2"/>
  <c r="F475" i="2"/>
  <c r="G475" i="2"/>
  <c r="E480" i="2"/>
  <c r="F480" i="2"/>
  <c r="G480" i="2"/>
  <c r="E484" i="2"/>
  <c r="F484" i="2"/>
  <c r="G484" i="2"/>
  <c r="E493" i="2"/>
  <c r="F493" i="2"/>
  <c r="G493" i="2"/>
  <c r="E499" i="2"/>
  <c r="F499" i="2"/>
  <c r="G499" i="2"/>
  <c r="E501" i="2"/>
  <c r="F501" i="2"/>
  <c r="G501" i="2"/>
  <c r="E505" i="2"/>
  <c r="F505" i="2"/>
  <c r="G505" i="2"/>
  <c r="E512" i="2"/>
  <c r="F512" i="2"/>
  <c r="G512" i="2"/>
  <c r="E517" i="2"/>
  <c r="F517" i="2"/>
  <c r="G517" i="2"/>
  <c r="E522" i="2"/>
  <c r="F522" i="2"/>
  <c r="G522" i="2"/>
  <c r="E525" i="2"/>
  <c r="F525" i="2"/>
  <c r="G525" i="2"/>
  <c r="E528" i="2"/>
  <c r="F528" i="2"/>
  <c r="G528" i="2"/>
  <c r="E535" i="2"/>
  <c r="F535" i="2"/>
  <c r="G535" i="2"/>
  <c r="E543" i="2"/>
  <c r="F543" i="2"/>
  <c r="G543" i="2"/>
  <c r="E548" i="2"/>
  <c r="F548" i="2"/>
  <c r="G548" i="2"/>
  <c r="E554" i="2"/>
  <c r="F554" i="2"/>
  <c r="G554" i="2"/>
  <c r="E561" i="2"/>
  <c r="F561" i="2"/>
  <c r="G561" i="2"/>
  <c r="E563" i="2"/>
  <c r="F563" i="2"/>
  <c r="G563" i="2"/>
  <c r="E568" i="2"/>
  <c r="F568" i="2"/>
  <c r="G568" i="2"/>
  <c r="E570" i="2"/>
  <c r="F570" i="2"/>
  <c r="G570" i="2"/>
  <c r="E573" i="2"/>
  <c r="F573" i="2"/>
  <c r="G573" i="2"/>
  <c r="E583" i="2"/>
  <c r="F583" i="2"/>
  <c r="G583" i="2"/>
  <c r="E588" i="2"/>
  <c r="F588" i="2"/>
  <c r="G588" i="2"/>
  <c r="E592" i="2"/>
  <c r="F592" i="2"/>
  <c r="G592" i="2"/>
  <c r="E595" i="2"/>
  <c r="F595" i="2"/>
  <c r="G595" i="2"/>
  <c r="E599" i="2"/>
  <c r="F599" i="2"/>
  <c r="G599" i="2"/>
  <c r="E601" i="2"/>
  <c r="F601" i="2"/>
  <c r="G601" i="2"/>
  <c r="E605" i="2"/>
  <c r="F605" i="2"/>
  <c r="G605" i="2"/>
  <c r="E609" i="2"/>
  <c r="F609" i="2"/>
  <c r="G609" i="2"/>
  <c r="E612" i="2"/>
  <c r="F612" i="2"/>
  <c r="G612" i="2"/>
  <c r="E616" i="2"/>
  <c r="F616" i="2"/>
  <c r="G616" i="2"/>
  <c r="E619" i="2"/>
  <c r="F619" i="2"/>
  <c r="G619" i="2"/>
  <c r="E623" i="2"/>
  <c r="F623" i="2"/>
  <c r="G623" i="2"/>
  <c r="E627" i="2"/>
  <c r="F627" i="2"/>
  <c r="G627" i="2"/>
  <c r="E631" i="2"/>
  <c r="F631" i="2"/>
  <c r="G631" i="2"/>
  <c r="E634" i="2"/>
  <c r="F634" i="2"/>
  <c r="G634" i="2"/>
  <c r="E643" i="2"/>
  <c r="E637" i="2" s="1"/>
  <c r="F643" i="2"/>
  <c r="F637" i="2" s="1"/>
  <c r="G643" i="2"/>
  <c r="G637" i="2" s="1"/>
  <c r="E649" i="2"/>
  <c r="F649" i="2"/>
  <c r="G649" i="2"/>
  <c r="E657" i="2"/>
  <c r="F657" i="2"/>
  <c r="G657" i="2"/>
  <c r="E660" i="2"/>
  <c r="F660" i="2"/>
  <c r="G660" i="2"/>
  <c r="E663" i="2"/>
  <c r="F663" i="2"/>
  <c r="G663" i="2"/>
  <c r="E670" i="2"/>
  <c r="F670" i="2"/>
  <c r="G670" i="2"/>
  <c r="E674" i="2"/>
  <c r="F674" i="2"/>
  <c r="G674" i="2"/>
  <c r="E685" i="2"/>
  <c r="F685" i="2"/>
  <c r="G685" i="2"/>
  <c r="E687" i="2"/>
  <c r="F687" i="2"/>
  <c r="G687" i="2"/>
  <c r="E689" i="2"/>
  <c r="F689" i="2"/>
  <c r="G689" i="2"/>
  <c r="E696" i="2"/>
  <c r="F696" i="2"/>
  <c r="G696" i="2"/>
  <c r="E702" i="2"/>
  <c r="F702" i="2"/>
  <c r="G702" i="2"/>
  <c r="E708" i="2"/>
  <c r="F708" i="2"/>
  <c r="G708" i="2"/>
  <c r="E716" i="2"/>
  <c r="F716" i="2"/>
  <c r="G716" i="2"/>
  <c r="E718" i="2"/>
  <c r="F718" i="2"/>
  <c r="G718" i="2"/>
  <c r="E724" i="2"/>
  <c r="F724" i="2"/>
  <c r="G724" i="2"/>
  <c r="E728" i="2"/>
  <c r="F728" i="2"/>
  <c r="G728" i="2"/>
  <c r="E733" i="2"/>
  <c r="F733" i="2"/>
  <c r="G733" i="2"/>
  <c r="E735" i="2"/>
  <c r="F735" i="2"/>
  <c r="G735" i="2"/>
  <c r="E740" i="2"/>
  <c r="F740" i="2"/>
  <c r="G740" i="2"/>
  <c r="E743" i="2"/>
  <c r="F743" i="2"/>
  <c r="G743" i="2"/>
  <c r="E745" i="2"/>
  <c r="F745" i="2"/>
  <c r="G745" i="2"/>
  <c r="E748" i="2"/>
  <c r="F748" i="2"/>
  <c r="G748" i="2"/>
  <c r="C755" i="2"/>
  <c r="D755" i="2"/>
  <c r="E755" i="2"/>
  <c r="C766" i="2"/>
  <c r="D766" i="2"/>
  <c r="E766" i="2"/>
  <c r="E79" i="2" l="1"/>
  <c r="E770" i="2"/>
  <c r="F349" i="2"/>
  <c r="F104" i="2"/>
  <c r="C770" i="2"/>
  <c r="D770" i="2"/>
  <c r="G79" i="2"/>
  <c r="F251" i="2"/>
  <c r="G110" i="2"/>
  <c r="E110" i="2"/>
  <c r="F54" i="2"/>
  <c r="G41" i="2"/>
  <c r="F41" i="2"/>
  <c r="E41" i="2"/>
  <c r="F532" i="2"/>
  <c r="F172" i="2"/>
  <c r="F171" i="2" s="1"/>
  <c r="F693" i="2"/>
  <c r="F646" i="2"/>
  <c r="G532" i="2"/>
  <c r="G509" i="2"/>
  <c r="G349" i="2"/>
  <c r="G299" i="2"/>
  <c r="G251" i="2"/>
  <c r="G123" i="2"/>
  <c r="G12" i="2"/>
  <c r="E726" i="2"/>
  <c r="E693" i="2"/>
  <c r="F577" i="2"/>
  <c r="F473" i="2"/>
  <c r="F457" i="2"/>
  <c r="F389" i="2"/>
  <c r="F375" i="2"/>
  <c r="F319" i="2"/>
  <c r="F299" i="2"/>
  <c r="F209" i="2"/>
  <c r="F123" i="2"/>
  <c r="F110" i="2"/>
  <c r="F79" i="2"/>
  <c r="F12" i="2"/>
  <c r="G693" i="2"/>
  <c r="G646" i="2"/>
  <c r="E532" i="2"/>
  <c r="E473" i="2"/>
  <c r="E457" i="2"/>
  <c r="E349" i="2"/>
  <c r="E299" i="2"/>
  <c r="E251" i="2"/>
  <c r="E123" i="2"/>
  <c r="E12" i="2"/>
  <c r="E646" i="2"/>
  <c r="F726" i="2"/>
  <c r="G577" i="2"/>
  <c r="G473" i="2"/>
  <c r="G457" i="2"/>
  <c r="G389" i="2"/>
  <c r="G375" i="2"/>
  <c r="G319" i="2"/>
  <c r="G209" i="2"/>
  <c r="G172" i="2"/>
  <c r="G171" i="2" s="1"/>
  <c r="G159" i="2"/>
  <c r="G104" i="2"/>
  <c r="G54" i="2"/>
  <c r="F509" i="2"/>
  <c r="F159" i="2"/>
  <c r="G726" i="2"/>
  <c r="E577" i="2"/>
  <c r="E509" i="2"/>
  <c r="E389" i="2"/>
  <c r="E375" i="2"/>
  <c r="E319" i="2"/>
  <c r="E209" i="2"/>
  <c r="E172" i="2"/>
  <c r="E171" i="2" s="1"/>
  <c r="E159" i="2"/>
  <c r="E104" i="2"/>
  <c r="E54" i="2"/>
  <c r="G692" i="2" l="1"/>
  <c r="F692" i="2"/>
  <c r="E692" i="2"/>
  <c r="F531" i="2"/>
  <c r="E531" i="2"/>
  <c r="G531" i="2"/>
  <c r="G472" i="2"/>
  <c r="F472" i="2"/>
  <c r="E472" i="2"/>
  <c r="G388" i="2"/>
  <c r="F388" i="2"/>
  <c r="E388" i="2"/>
  <c r="F318" i="2"/>
  <c r="E318" i="2"/>
  <c r="F208" i="2"/>
  <c r="E208" i="2"/>
  <c r="G208" i="2"/>
  <c r="G122" i="2"/>
  <c r="E122" i="2"/>
  <c r="G11" i="2"/>
  <c r="F11" i="2"/>
  <c r="E11" i="2"/>
  <c r="F122" i="2"/>
  <c r="G318" i="2"/>
</calcChain>
</file>

<file path=xl/sharedStrings.xml><?xml version="1.0" encoding="utf-8"?>
<sst xmlns="http://schemas.openxmlformats.org/spreadsheetml/2006/main" count="2441" uniqueCount="1294">
  <si>
    <t>Kodas</t>
  </si>
  <si>
    <t>Pavadinimas</t>
  </si>
  <si>
    <t>Vykdytojas</t>
  </si>
  <si>
    <t>SP lėšos</t>
  </si>
  <si>
    <t>2026 metų lėšų projektas</t>
  </si>
  <si>
    <t>2027 metų lėšų projektas</t>
  </si>
  <si>
    <t>2028 metų lėšų projektas</t>
  </si>
  <si>
    <t>Poveikio /Rezultato /Produkto /Indėlio</t>
  </si>
  <si>
    <t>Rodiklis</t>
  </si>
  <si>
    <t>Mato vnt.</t>
  </si>
  <si>
    <t>Planas</t>
  </si>
  <si>
    <t>2026</t>
  </si>
  <si>
    <t>2027</t>
  </si>
  <si>
    <t>2028</t>
  </si>
  <si>
    <t>01</t>
  </si>
  <si>
    <t>Savivaldybės valdymo programa</t>
  </si>
  <si>
    <t>Bendrųjų reikalų skyrius</t>
  </si>
  <si>
    <t>01-01</t>
  </si>
  <si>
    <t>Gerinti veiklos valdymą ir efektyviai išnaudoti pažangius skaitmeninius sprendimus teikiant paslaugas</t>
  </si>
  <si>
    <t>Savivaldybės biudžetas, tenkantis vienai patvirtintai pareigybei savivaldybės administracijoje</t>
  </si>
  <si>
    <t>eur</t>
  </si>
  <si>
    <t>Vieta pagal lyčių lygybės stebėsenos savivaldybėse rodiklius</t>
  </si>
  <si>
    <t>vnt.</t>
  </si>
  <si>
    <t>01-01-01</t>
  </si>
  <si>
    <t>Taikyti gerąsias valdymo praktikas Savivaldybėje ir jos valdomosiose įmonėse ir įstaigose</t>
  </si>
  <si>
    <t>Viešųjų investicijų skyrius; Turto valdymo skyrius; Vyriausiasis specialistas (už korupcijai atsparios aplinkos kūrimą atsakingas asmuo); Informacinių technologijų poskyris; Viešųjų pirkimų poskyris</t>
  </si>
  <si>
    <t>Sukurtas pažangus Savivaldybės ir jos įstaigų turto valdymo sprendimas</t>
  </si>
  <si>
    <t>1.05.</t>
  </si>
  <si>
    <t>Savivaldybės biudžetinių įstaigų, organizuojančių anoniminę darbuotojų apklausą tolerancijos korupcijai indeksui nustatyti, dalis</t>
  </si>
  <si>
    <t>proc.</t>
  </si>
  <si>
    <t>1.08.</t>
  </si>
  <si>
    <t>Savivaldybės administracijos žaliųjų pirkimų vertės dalis, nuo visų pirkimų</t>
  </si>
  <si>
    <t>Pirkimų dalis, kuriuose pirkimų procese nustatomi socialiniai kriterijai</t>
  </si>
  <si>
    <t>Savivaldybės administracijos inovatyvių pirkimų dalis, nuo visų pirkimų</t>
  </si>
  <si>
    <t>Savivaldybės administracijos pirkimų, kuomet taikoma kokybės kriterijus, vertės dalis nuo visų pirkimų</t>
  </si>
  <si>
    <t>Pavaldžių Savivaldybės biudžetinių įstaigų ir valdomų įmonių dalis, pasitvirtinusi „Dovanų politiką"</t>
  </si>
  <si>
    <t>01-01-02</t>
  </si>
  <si>
    <t>Kurti ir palaikyti Savivaldybės ir jos įstaigų viešosios informacijos sistemas</t>
  </si>
  <si>
    <t>Asmenų aptarnavimo skyrius; Informacinių technologijų poskyris</t>
  </si>
  <si>
    <t>Atliktas „siauliai.lt” ir susijusių platformų pritaikymas skirtingas negalias turintiems asmenims</t>
  </si>
  <si>
    <t>1.01.</t>
  </si>
  <si>
    <t>Įdiegta kultūros ir sporto renginių platforma</t>
  </si>
  <si>
    <t>Naujai atvertų duomenų rinkinių, teikiančių informaciją realiu laiku, skaičius</t>
  </si>
  <si>
    <t>Sudaryta Informacinių technologijų strategijos rengimo sutartis</t>
  </si>
  <si>
    <t>Gyventojų informavimo ir komunikacijos paslaugų skaičius, kurias teikiant pasitelkiami dirbtinio intelekto sprendimai</t>
  </si>
  <si>
    <t>Savivaldybės įstaigų dalis, kurių internetiniai portalai pritaikyti skirtingas negalias turintiems asmenims</t>
  </si>
  <si>
    <t>Sukurtas Informacinių technologijų strategijos konceptas</t>
  </si>
  <si>
    <t>01-01-03</t>
  </si>
  <si>
    <t>Pasirengti efektyviam ekstremaliųjų situacijų valdymui Šiaulių miesto savivaldybėje</t>
  </si>
  <si>
    <t>Statybos ir renovacijos skyrius; Civilinės saugos poskyris</t>
  </si>
  <si>
    <t>Užtikrintas aprūpinimas priemonėmis, skirtomis ekstremaliųjų situacijų valdymui</t>
  </si>
  <si>
    <t>Slėptuvės, Šiaulių miesto savivaldybės ekstremaliųjų situacijų operacijų centro veiklai, įrengimo darbų dalis</t>
  </si>
  <si>
    <t>01-01-04</t>
  </si>
  <si>
    <t>Įgyvendinti lyčių lygybės, lygių galimybių ir korupcijos prevencijos principus</t>
  </si>
  <si>
    <t>Veiklos valdymo skyrius; Asmenų aptarnavimo skyrius</t>
  </si>
  <si>
    <t>Atnaujinta nuotolinio darbo savivaldybės administracijoje tvarka</t>
  </si>
  <si>
    <t>Darbuotojų, pasinaudojusių nuotolinio darbo galimybe, dalis nuo visų darbuotojų</t>
  </si>
  <si>
    <t>Pateiktų pasiūlymų, dėl lygių galimybių kriterijų/krypčių numatymo Savivaldybės vykdomose programose, skaičius</t>
  </si>
  <si>
    <t>Parengtų straipsnių lygių galimybių klausimais skaičius</t>
  </si>
  <si>
    <t>Įsteigta koordinatoriaus, lygių galimybių, lyčių lygybės ir apsaugos nuo smurto artimoje aplinkoje, pareigybė</t>
  </si>
  <si>
    <t>Suorganizuotų anoniminių apklausų savivaldybės administracijos darbuotojų tolerancijos korupcijai indeksui nustatyti skaičius</t>
  </si>
  <si>
    <t>Suorganizuotų anoniminių apklausų savivaldybės administracijos darbuotojų psichologinio mikroklimato temomis skaičius</t>
  </si>
  <si>
    <t>01-01-05</t>
  </si>
  <si>
    <t>Įgyvendinti administracinės naštos mažinimo planą ir organizuoti plano įgyvendinimo stebėseną</t>
  </si>
  <si>
    <t>Asmenų aptarnavimo skyrius</t>
  </si>
  <si>
    <t>Įgyvendintų plano priemonių skaičius</t>
  </si>
  <si>
    <t>01-01-07</t>
  </si>
  <si>
    <t>Įgyvendinti priemones, užtikrinančias ekstremalių situacijų prevenciją</t>
  </si>
  <si>
    <t>Viešųjų investicijų skyrius; Civilinės saugos poskyris</t>
  </si>
  <si>
    <t>Įsigyta sulankstomų lovų komplektų</t>
  </si>
  <si>
    <t>Įsigyta miegmaišių komplektų</t>
  </si>
  <si>
    <t>Įrengta priedangų</t>
  </si>
  <si>
    <t>01-02</t>
  </si>
  <si>
    <t>Skatinti įtraukų bendradarbiavimą su visuomene ir suinteresuotomis šalimis</t>
  </si>
  <si>
    <t>Gyventojų aktyvumas vietos savivaldos rinkimuose</t>
  </si>
  <si>
    <t>01-02-01</t>
  </si>
  <si>
    <t>Stiprinti bendruomeninę veiklą savivaldybėje</t>
  </si>
  <si>
    <t>Vyriausiasis specialistas (nevyriausybinių organizacijų koordinatorius)</t>
  </si>
  <si>
    <t>Pateiktų prašymų skaičius</t>
  </si>
  <si>
    <t>Finansuotų projektų skaičius</t>
  </si>
  <si>
    <t>Įgyvendintų iniciatyvų skaičius</t>
  </si>
  <si>
    <t>Patalpų, skirtų bendruomenių, NVO susirinkimų,  veiklos vykdymo poreikiams tenkinti mikrorajonuose, skaičius</t>
  </si>
  <si>
    <t>01-02-02</t>
  </si>
  <si>
    <t>Skatinti nevyriausybinių organizacijų veiklą ir užtikrinti jų plėtrą</t>
  </si>
  <si>
    <t>Suorganizuotų mokymų skaičius</t>
  </si>
  <si>
    <t>Įgyvendintų iniciatyvų skaičius, bendradarbiaujant su Savivaldybės tarybos patvirtintomis jaunimo, nevyriausybinių ir bendruomeninių organizacijų tarybomis</t>
  </si>
  <si>
    <t>01-02-03</t>
  </si>
  <si>
    <t>Dalyvauti rengiant ir įgyvendinant Šiaulių vietos veiklos grupės strategiją</t>
  </si>
  <si>
    <t>Viešųjų investicijų skyrius</t>
  </si>
  <si>
    <t>Išmokėta prisidėjimo dalis prie Šiaulių miesto vietos veiklos grupės 2022–2029 metų vietos plėtros strategijos įgyvendinimo</t>
  </si>
  <si>
    <t>01-02-04</t>
  </si>
  <si>
    <t>Vystyti dalyvaujamojo biudžeto modelį</t>
  </si>
  <si>
    <t>Vyriausiasis specialistas (nevyriausybinių organizacijų koordinatorius); Miesto ūkio ir aplinkos skyrius; Jaunimo reikalų koordinatorius (patarėjas); Miesto plėtros ir paveldosaugos skyrius</t>
  </si>
  <si>
    <t>Įgyvendintų bendruomenės iniciatyvų skaičius</t>
  </si>
  <si>
    <t>Įgyvendintų mokinių iniciatyvų skaičius</t>
  </si>
  <si>
    <t>Balsavusiųjų dalyvaujamojo biudžeto projektų atrankose dalis nuo visų gyventojų</t>
  </si>
  <si>
    <t>01-02-05</t>
  </si>
  <si>
    <t>Įgyvendinti prevencines programas</t>
  </si>
  <si>
    <t>Civilinės saugos ir teisėtvarkos skyrius; Civilinės saugos poskyris</t>
  </si>
  <si>
    <t>Įgyvendintų  nusikaltimų ir gaisrų prevencinių priemonių skaičius</t>
  </si>
  <si>
    <t>01-03</t>
  </si>
  <si>
    <t>Organizuoti  Savivaldybės veiklos funkcijų įgyvendinimą</t>
  </si>
  <si>
    <t>Patvirtintų pareigybių savivaldybės administracijoje skaičius metų pabaigoje</t>
  </si>
  <si>
    <t>Vidutiniškai vieno darbuotojo dalyvavimas mokymuose (kartais)</t>
  </si>
  <si>
    <t>01-03-01</t>
  </si>
  <si>
    <t>Užtikrinti Savivaldybės administracijos finansinį, ūkinį ir materialinį aptarnavimą</t>
  </si>
  <si>
    <t>Sporto skyrius; Veiklos valdymo skyrius; Apskaitos skyrius; Bendrųjų reikalų skyrius; Informacinių technologijų poskyris</t>
  </si>
  <si>
    <t>Įsigytos organizacinės technikos skaičius</t>
  </si>
  <si>
    <t>1.09.</t>
  </si>
  <si>
    <t>Įsigytų duomenų saugyklų skaičius</t>
  </si>
  <si>
    <t>Įsigytų programinės įrangos licencijų skaičius</t>
  </si>
  <si>
    <t>Valstybės karjeros tarnautojų (pareigybių) skaičius</t>
  </si>
  <si>
    <t>Darbuotojų dirbančių pagal darbo sutartis (pareigybių) skaičius</t>
  </si>
  <si>
    <t>Įvykdytų planuotų administracijos remonto darbų dalis</t>
  </si>
  <si>
    <t>Įsigytos kompiuterinės technikos skaičius</t>
  </si>
  <si>
    <t>Eksploatuojamų kompiuterių skaičius</t>
  </si>
  <si>
    <t>Eksploatuojamų nuosavų transporto priemonių skaičius</t>
  </si>
  <si>
    <t>01-03-02</t>
  </si>
  <si>
    <t>Didinti Savivaldybės administracijos darbuotojų kompetencijas ir suteikti naujus įgūdžius</t>
  </si>
  <si>
    <t>Veiklos valdymo skyrius</t>
  </si>
  <si>
    <t>Mokymų dalyvių skaičius</t>
  </si>
  <si>
    <t>01-03-03</t>
  </si>
  <si>
    <t>Užtikrinti Savivaldybės tarybos, Savivaldybės mero ir jo politinio (asmeninio) pasitikėjimo valstybės tarnautojų finansinį, ūkinį ir materialinį aptarnavimą</t>
  </si>
  <si>
    <t>Apskaitos skyrius</t>
  </si>
  <si>
    <t>Įvykusių skelbtų Tarybos, Komitetų, Komisijų posėdžių dalis</t>
  </si>
  <si>
    <t>Laiku paskelbtų ir įvykdytų Tarybos priimtų sprendimų dalis</t>
  </si>
  <si>
    <t>Mero ir Mero politinio (asmeninio) pasitikėjimo valstybės tarnautojų (pareigybių) skaičius</t>
  </si>
  <si>
    <t>01-03-04</t>
  </si>
  <si>
    <t>Užtikrinti Kontrolės ir audito tarnybos finansinį, ūkinį bei materialinį aptarnavimą</t>
  </si>
  <si>
    <t>Savivaldybės kontrolės ir audito tarnyba</t>
  </si>
  <si>
    <t>Atliktų auditų skaičius</t>
  </si>
  <si>
    <t>Kontrolės ir audito tarnybos darbuotojų skaičius</t>
  </si>
  <si>
    <t>01-03-05</t>
  </si>
  <si>
    <t>Užtikrinti Šiaulių apskaitos centro veiklą</t>
  </si>
  <si>
    <t>Ekonomikos skyrius</t>
  </si>
  <si>
    <t>Užtikrintas centralizuotos apskaitos ir viešųjų pirkimų vykdymas</t>
  </si>
  <si>
    <t>Savivaldybės BĮ/VŠĮ žaliųjų pirkimų vertės dalis, nuo visų pirkimų (proc.)</t>
  </si>
  <si>
    <t>Supaprastintų rezervuotų pirkimų vertės dalis nuo visų pirkimų (proc.)</t>
  </si>
  <si>
    <t>Pirkimų dalis, kuriuose pirkimų procese nustatomi socialiniai kriterijai (proc.)</t>
  </si>
  <si>
    <t>Savivaldybės BĮ/VŠĮ inovatyvių pirkimų dalis, nuo visų pirkimų</t>
  </si>
  <si>
    <t>Savivaldybės BĮ/VŠĮ pirkimų, kuomet taikoma kokybės kriterijus, vertės dalis nuo visų pirkimų</t>
  </si>
  <si>
    <t>01-03-06</t>
  </si>
  <si>
    <t>Užtikrinti projektų vykdymo priežiūros ir kitas inžinerines paslaugas</t>
  </si>
  <si>
    <t>Statybos ir renovacijos skyrius</t>
  </si>
  <si>
    <t>Patenkinto poreikio dėl projektų vykdymo priežiūros ir kitų inžinerinių paslaugų įgyvendinimo, dalis</t>
  </si>
  <si>
    <t>01-03-07</t>
  </si>
  <si>
    <t>Likviduoti įvykių, ekstremalių įvykių ir situacijų pasekmes (mero rezervas)</t>
  </si>
  <si>
    <t>Civilinės saugos poskyris</t>
  </si>
  <si>
    <t>Likviduotos įvykusių ekstremalių įvykių/situacijų pasekmės</t>
  </si>
  <si>
    <t>01-04</t>
  </si>
  <si>
    <t>Tinkamai įgyvendinti valstybines (perduotas savivaldybei) funkcijas</t>
  </si>
  <si>
    <t>Valstybės deleguotų funkcijų skaičius</t>
  </si>
  <si>
    <t>01-04-01</t>
  </si>
  <si>
    <t>Deklaruoti gyvenamąją vietą</t>
  </si>
  <si>
    <t>1.04.</t>
  </si>
  <si>
    <t>Užtikrintas funkcijos įgyvendinimas</t>
  </si>
  <si>
    <t>01-04-02</t>
  </si>
  <si>
    <t>Teikti duomenis Valstybės registrui</t>
  </si>
  <si>
    <t>01-04-03</t>
  </si>
  <si>
    <t>Teikti pirminę teisinę pagalbą</t>
  </si>
  <si>
    <t>Teisės skyrius</t>
  </si>
  <si>
    <t>01-04-04</t>
  </si>
  <si>
    <t>Registruoti civilinės būklės aktus</t>
  </si>
  <si>
    <t>Civilinės metrikacijos skyrius</t>
  </si>
  <si>
    <t>01-04-05</t>
  </si>
  <si>
    <t>Tvarkyti Gyventojų registrą</t>
  </si>
  <si>
    <t>01-04-06</t>
  </si>
  <si>
    <t>Vykdyti valstybinės kalbos vartojimo kontrolę</t>
  </si>
  <si>
    <t>Kultūros skyrius</t>
  </si>
  <si>
    <t>01-04-07</t>
  </si>
  <si>
    <t>Įgyvendinti jaunimo politiką</t>
  </si>
  <si>
    <t>Jaunimo reikalų koordinatorius (patarėjas)</t>
  </si>
  <si>
    <t>01-04-08</t>
  </si>
  <si>
    <t>Tvarkyti archyvinius dokumentus</t>
  </si>
  <si>
    <t>01-04-09</t>
  </si>
  <si>
    <t>Administruoti mobilizaciją</t>
  </si>
  <si>
    <t>Vyriausiasis specialistas mobilizacijai</t>
  </si>
  <si>
    <t>01-04-10</t>
  </si>
  <si>
    <t>Organizuoti civilinę saugą</t>
  </si>
  <si>
    <t>01-04-11</t>
  </si>
  <si>
    <t>Vykdyti žemės ūkio funkcijas</t>
  </si>
  <si>
    <t>Miesto ūkio ir aplinkos skyrius</t>
  </si>
  <si>
    <t>01-04-12</t>
  </si>
  <si>
    <t>Administruoti Užimtumo didinimo programą</t>
  </si>
  <si>
    <t>Socialinių paslaugų skyrius</t>
  </si>
  <si>
    <t>01-04-13</t>
  </si>
  <si>
    <t>Administruoti socialines pašalpas</t>
  </si>
  <si>
    <t>Socialinių išmokų ir kompensacijų skyrius</t>
  </si>
  <si>
    <t>01-04-14</t>
  </si>
  <si>
    <t>Administruoti socialinę paramą mokiniams</t>
  </si>
  <si>
    <t>01-04-15</t>
  </si>
  <si>
    <t>Administruoti socialinę globą</t>
  </si>
  <si>
    <t>01-04-16</t>
  </si>
  <si>
    <t>Administruoti būsto nuomos ar išperkamosios būsto nuomos mokesčių dalies kompensacijas</t>
  </si>
  <si>
    <t>Apskaitos skyrius; Turto valdymo skyrius</t>
  </si>
  <si>
    <t>01-04-17</t>
  </si>
  <si>
    <t>Užtikrinti informacijos apie neveiksnių asmenų būklę persvarstymą</t>
  </si>
  <si>
    <t>Sveikatos skyrius</t>
  </si>
  <si>
    <t>Komisijos priimtų sprendimų kreiptis į teismą skaičius</t>
  </si>
  <si>
    <t>Komisijos inicijuotų asmens būklės peržiūrėjimų skaičius</t>
  </si>
  <si>
    <t>01-04-18</t>
  </si>
  <si>
    <t>Organizuoti tarpinstitucinio bendradarbiavimo koordinatoriaus darbą</t>
  </si>
  <si>
    <t>Apskaitos skyrius; Vyriausiasis specialistas (tarpinstitucinio bendradarbiavimo koordinatorius)</t>
  </si>
  <si>
    <t>01-04-19</t>
  </si>
  <si>
    <t>Atlikti erdvinių duomenų rinkinio tvarkymo funkciją</t>
  </si>
  <si>
    <t>Apskaitos skyrius; Miesto plėtros ir paveldosaugos skyrius</t>
  </si>
  <si>
    <t>Atlikta tvarkymo funkcija</t>
  </si>
  <si>
    <t>01-04-20</t>
  </si>
  <si>
    <t>Vykdyti valstybinės žemės, perduotos Vyriausybės nutarimu, patikėtinio funkciją</t>
  </si>
  <si>
    <t>Žemės valdymo skyrius; Apskaitos skyrius</t>
  </si>
  <si>
    <t>01-04-21</t>
  </si>
  <si>
    <t>Asmenų su negalia reikalų koordinatoriaus pareigybės išlaikymas</t>
  </si>
  <si>
    <t>Apskaitos skyrius; Socialinių paslaugų skyrius</t>
  </si>
  <si>
    <t>01-05</t>
  </si>
  <si>
    <t>Užtikrinti finansinių įsipareigojimų vykdymą</t>
  </si>
  <si>
    <t>Savivaldybės skola (proc. nuo pajamų be dotacijų)</t>
  </si>
  <si>
    <t>01-05-01</t>
  </si>
  <si>
    <t>Vykdyti paskolų grąžinimą, palūkanų už paskolas mokėjimą ir kitus finansinius  įsipareigojimus</t>
  </si>
  <si>
    <t>Strateginio planavimo ir finansų skyrius</t>
  </si>
  <si>
    <t>Pasirašytų paskolų sutarčių</t>
  </si>
  <si>
    <t>sk.</t>
  </si>
  <si>
    <t>Įvykdyti skoliniai įsipareigojimai</t>
  </si>
  <si>
    <t>01-05-02</t>
  </si>
  <si>
    <t>Vykdyti išmokėtos dotacijų dalies savivaldybei grąžinimą</t>
  </si>
  <si>
    <t>Įvykdyti sutartiniai įsipareigojimai</t>
  </si>
  <si>
    <t>01-05-03</t>
  </si>
  <si>
    <t>Užtikrinti Biudžetinių įstaigų finansinį, ūkinį aptarnavimą</t>
  </si>
  <si>
    <t>Apskaitos skyrius; Švietimo skyrius</t>
  </si>
  <si>
    <t>Įvykdyti švietimo įstaigų statinių inžinerinių sistemų avarijų ir jų padarinių šalinimo darbai</t>
  </si>
  <si>
    <t>Apdraustų biudžetinių įstaigų civilinės atsakomybės draudimu skaičius</t>
  </si>
  <si>
    <t>01-06</t>
  </si>
  <si>
    <t>Užtikrinti Savivaldybei nuosavybės teise priklausančio turto tinkamą įregistravimą,  eksploatavimą, renovavimą, remontą ir  saugojimą</t>
  </si>
  <si>
    <t>Teisiškai sutvarkytų ir  įregistruotų  nekilnojamojo turto sk.  nuo viso turimo turto, proc.</t>
  </si>
  <si>
    <t>01-06-01</t>
  </si>
  <si>
    <t>Apmokėti pastatų, patalpų ir inžinerinių statinių vertinimo, kadastrinių matavimų atlikimo, teisines registracijos išlaidas</t>
  </si>
  <si>
    <t>Turto valdymo skyrius</t>
  </si>
  <si>
    <t>Nekilnojamojo turto registre teisiškai įregistruoto turto skaičius</t>
  </si>
  <si>
    <t>01-06-02</t>
  </si>
  <si>
    <t>Padengti Privatizavimo programos vykdymo išlaidas</t>
  </si>
  <si>
    <t>Padengtos išlaidos</t>
  </si>
  <si>
    <t>01-06-03</t>
  </si>
  <si>
    <t>Apmokėti turto, kuris neturi savininko (ar savininkas nežinomas) laikinosios priežiūros ir laikinųjų apsaugos priemonių įrengimo arba griovimo išlaidas</t>
  </si>
  <si>
    <t>Statybos ir renovacijos skyrius; Turto valdymo skyrius</t>
  </si>
  <si>
    <t>Prižiūrimų ir nugriautų objektų skaičius</t>
  </si>
  <si>
    <t>01-06-04</t>
  </si>
  <si>
    <t>Apmokėti Savivaldybei nuosavybės teise priklausančių pastatų, patalpų ir inžinerinių statinių  draudimo, apsaugos, remonto, komunalines ir kitas išlaidas</t>
  </si>
  <si>
    <t>Apmokėtos eksploatavimo išlaidos</t>
  </si>
  <si>
    <t>01-06-05</t>
  </si>
  <si>
    <t>Apmokėti Savivaldybei nuosavybės teise priklausančio nekilnojamojo turto renovacijos išlaidas</t>
  </si>
  <si>
    <t>Apmokėtos renovacijos išlaidos</t>
  </si>
  <si>
    <t>01-06-06</t>
  </si>
  <si>
    <t>Užtikrinti skolų išieškojimą ir skolininkų iškeldinimą iš Savivaldybei nuosavybės teise priklausančių būstų</t>
  </si>
  <si>
    <t>Įvykdytų teismų sprendimų</t>
  </si>
  <si>
    <t>01-06-07</t>
  </si>
  <si>
    <t>Apmokėti Savivaldybei nuosavybės teise priklausančių būstų eksploatavimo, administravimo, kaupimo, nuomos mokesčio surinkimo, komunalinių mokesčių, remonto išlaidas</t>
  </si>
  <si>
    <t>Suremontuotų būstų skaičius</t>
  </si>
  <si>
    <t>Būstų, kuriems apmokamos eksploatavimo išlaidos skaičius</t>
  </si>
  <si>
    <t>01-06-08</t>
  </si>
  <si>
    <t>Kompensuoti daugiabučių namų savininkų bendrijų steigimo išlaidas</t>
  </si>
  <si>
    <t>Bendrijų, kurioms padengtos steigimo išlaidos, skaičius</t>
  </si>
  <si>
    <t>01-06-09</t>
  </si>
  <si>
    <t>Kompensuoti būsto nuomos ar išperkamosios būsto nuomos mokesčių dalį</t>
  </si>
  <si>
    <t>Asmenų ir šeimų, gaunančių būsto nuomos mokesčio dalies kompensaciją, skaičius</t>
  </si>
  <si>
    <t>Rinkoje nuomojamų būstų, kuriems kompensuojamas nuomos mokestis, skaičius</t>
  </si>
  <si>
    <t>02</t>
  </si>
  <si>
    <t>Kultūros programa</t>
  </si>
  <si>
    <t>02-01</t>
  </si>
  <si>
    <t>Stiprinti miesto kultūrinio gyvenimo aktyvumą</t>
  </si>
  <si>
    <t>Kultūros įstaigų lankytojų skaičius:</t>
  </si>
  <si>
    <t>asm.</t>
  </si>
  <si>
    <t>Bibliotekų lankytojų skaičius</t>
  </si>
  <si>
    <t>Muziejų lankytojų skaičius</t>
  </si>
  <si>
    <t>Galerijų lankytojų skaičius</t>
  </si>
  <si>
    <t>Teatrų lankytojų skaičius</t>
  </si>
  <si>
    <t>Koncertų salių lankytojų skaičius</t>
  </si>
  <si>
    <t>Kultūros centrų lankytojų skaičius</t>
  </si>
  <si>
    <t>Naujų užsienio miestų (ir šalių), įtrauktų į ilgalaikę kultūros partnerystę (trunkančią ilgiau kaip 1 m.), skaičius</t>
  </si>
  <si>
    <t>02-01-01</t>
  </si>
  <si>
    <t>Užtikrinti kultūros įstaigų veiklą</t>
  </si>
  <si>
    <t>Kultūros įstaigos; Kultūros skyrius</t>
  </si>
  <si>
    <t>Surengtų parodų skaičius</t>
  </si>
  <si>
    <t>Surengtų renginių skaičius</t>
  </si>
  <si>
    <t>2.03.</t>
  </si>
  <si>
    <t>Įgyvendintų projektų skaičius</t>
  </si>
  <si>
    <t>2.01.</t>
  </si>
  <si>
    <t>Surengtų edukacijų skaičius</t>
  </si>
  <si>
    <t>Surengtų ekskursijų skaičius</t>
  </si>
  <si>
    <t>Lankytojų (renginių, parodų, projektų ir kt. lankytojų, žiūrovų, klausytojų, skaitytojų, paslaugų vartotojų ir pan.) skaičius</t>
  </si>
  <si>
    <t>Dalyvių (renginyje / parodoje / koncerte / projekte / festivalyje ir pan. dalyvavusių kūrėjų, atlikėjų, organizatorių, savanorių ir kt.) skaičius</t>
  </si>
  <si>
    <t>Edukacijų dalyvių skaičius</t>
  </si>
  <si>
    <t>Ekskursijų dalyvių skaičius</t>
  </si>
  <si>
    <t>02-01-02</t>
  </si>
  <si>
    <t>Skatinti Šiaulių miesto kultūros ir meno įvairovę, sklaidą, prieinamumą</t>
  </si>
  <si>
    <t>Finansuotų kultūros projektų skaičius</t>
  </si>
  <si>
    <t>Įgyvendintų naujų kultūros srities iniciatyvų</t>
  </si>
  <si>
    <t>Naujų skaitmenizuotų kultūros paslaugų skaičius kultūros įstaigose</t>
  </si>
  <si>
    <t>Kultūros partnerysčių, vykdytų bendradarbiaujant su kitų sričių organizacijomis</t>
  </si>
  <si>
    <t>02-01-03</t>
  </si>
  <si>
    <t>Skatinti meno kūrėjus</t>
  </si>
  <si>
    <t>Įteiktų premijų ir stipendijų skaičius</t>
  </si>
  <si>
    <t>Pagal parengtą naują Kultūros ir meno kūrėjų stipendijų programą, sukurtų naujų kultūros produktų</t>
  </si>
  <si>
    <t>Pagal parengtą naują Meno (viešose erdvėse) rėmimo programą, sukurtų naujų kultūros produktų</t>
  </si>
  <si>
    <t>Pagal parengtą naują Kultūros ir meno kūrėjų stipendijų programą stipendijas gavusių asmenų asmenų skaičius</t>
  </si>
  <si>
    <t>Pagal parengtą naują Meno (viešose erdvėse) rėmimo programą, programos dalyvių skaičius</t>
  </si>
  <si>
    <t>02-01-04</t>
  </si>
  <si>
    <t>Užtikrinti reprezentacinių Šiaulių miesto festivalių tęstinumą, jų ilgalaikiškumą, dalinį finansavimą, skatinti naujų idėjų, raiškos formų atsiradimą ir raidą</t>
  </si>
  <si>
    <t>Finansuotų festivalių skaičius</t>
  </si>
  <si>
    <t>Kultūros įstaigų suorganizuotų renginių kartu su jaunaisiais meno kūrėjais skaičius</t>
  </si>
  <si>
    <t>Atnaujintų ir / ar naujų kultūros paslaugų skaičius tautinėms mažumoms pavaldžiose kultūros įstaigose</t>
  </si>
  <si>
    <t>Įgyvendintų kultūros įstaigų projektų, skirtų socialinę ir kultūrinę atskirtį patiriantiems gyventojams, skaičius</t>
  </si>
  <si>
    <t>02-01-05</t>
  </si>
  <si>
    <t>Koordinuoti valstybinių švenčių, atmintinų dienų paminėjimą, svarbių renginių, plenerų organizavimą, puoselėti tautines tradicijas</t>
  </si>
  <si>
    <t>Surengtų miesto, valstybinių, kalendorinių švenčių ir atmintinų dienų minėjimų skaičius</t>
  </si>
  <si>
    <t>Įgyvendintų Tolygios kultūrinės raidos programos projektų, papildomų kultūros priemonių skaičius</t>
  </si>
  <si>
    <t>Įsigytų atminimo ženklų sukūrimo ir gamybos paslaugų skaičius</t>
  </si>
  <si>
    <t>Suorganizuotų Europos paveldo dienų renginių ciklų skaičius</t>
  </si>
  <si>
    <t>02-01-07</t>
  </si>
  <si>
    <t>Įgyvendinti kultūros priemonės miesto įvaizdžiui gerinti</t>
  </si>
  <si>
    <t>Kultūros skyrius; Kultūros įstaigos</t>
  </si>
  <si>
    <t>Įgyvendintų kultūros priemonių miesto įvaizdžiui gerinti skaičius</t>
  </si>
  <si>
    <t>02-01-08</t>
  </si>
  <si>
    <t>Plėtoti kultūros paveldo apskaitą</t>
  </si>
  <si>
    <t>Miesto plėtros ir paveldosaugos skyrius</t>
  </si>
  <si>
    <t>Įgyvendintų kultūros paveldo apskaitos priemonių skaičius</t>
  </si>
  <si>
    <t>02-02</t>
  </si>
  <si>
    <t>Išvystyti gyventojų poreikius atitinkančią kultūros įstaigų infrastruktūrą</t>
  </si>
  <si>
    <t>Kultūros įstaigų pastatų, kurie yra geros būklės, skaičius nuo visų kultūros įstaigų pastatų</t>
  </si>
  <si>
    <t>02-02-01</t>
  </si>
  <si>
    <t>Atnaujinti (modernizuoti) Šiaulių miesto koncertinę įstaigą „Saulė" (Tilžės g. 140), rekonstruoti pastatą</t>
  </si>
  <si>
    <t>Kultūros skyrius; Šiaulių miesto koncertinė įstaiga „Saulė“</t>
  </si>
  <si>
    <t>Parengta techninė dokumentacija</t>
  </si>
  <si>
    <t>Atlikta pastato fasado (nuo Tilžės g.) ir laiptų remonto dalis</t>
  </si>
  <si>
    <t>02-02-04</t>
  </si>
  <si>
    <t>Atnaujinti (modernizuoti) Šiaulių dailės galerijos pastatą / patalpas (Vilniaus g. 245)</t>
  </si>
  <si>
    <t>Šiaulių dailės galerija; Kultūros skyrius</t>
  </si>
  <si>
    <t>Atlikta ekspozicinių salių rekonstrukcijos, remonto ir pritaikymo multifunkciniams tikslams darbų dalis</t>
  </si>
  <si>
    <t>Atlikta kasos, holo ir informacinio centro rekonstrukcijos, remonto ir rūbinės įrengimo darbų dalis</t>
  </si>
  <si>
    <t>02-02-06</t>
  </si>
  <si>
    <t>Modernizuoti kultūros įstaigų pastatus / statinius / patalpas</t>
  </si>
  <si>
    <t>Šiaulių miesto savivaldybės viešoji biblioteka; Šiaulių kultūros centras; Kultūros skyrius</t>
  </si>
  <si>
    <t>Įkurta išmanioji erdvė Šiaulių miesto savivaldybės viešosios bibliotekos Lieporių filiale (Tilžės g. 36 Šiauliai)</t>
  </si>
  <si>
    <t>Įsigytas lauko įgarsinimo ir apšvietimo įrangos komplektas</t>
  </si>
  <si>
    <t>02-02-07</t>
  </si>
  <si>
    <t xml:space="preserve">Sudaryti sąlygas saugoti, įveiklinti miesto nekilnojamąjį kultūros paveldą </t>
  </si>
  <si>
    <t>Sutvarkytų kultūros paveldo objektų skaičius</t>
  </si>
  <si>
    <t>Suprojektuotų, pagamintų ir sumontuotų informacinių stovų (stendų), prie Šiaulių m. memorialinių objektų – neveikiančių kapinių, skaičius</t>
  </si>
  <si>
    <t>kompl.</t>
  </si>
  <si>
    <t>Įvykdyti Antrojo pasaulinio karo Sovietų Sąjungos karių palaikų perkėlimo darbus</t>
  </si>
  <si>
    <t>02-02-08</t>
  </si>
  <si>
    <t>Aktualizuoti Šiaulių kultūros centro struktūrinius padalinius – galeriją „Laiptai“ ir P. Bugailiškio etnologijos centrą</t>
  </si>
  <si>
    <t>Kultūros skyrius; Šiaulių kultūros centras</t>
  </si>
  <si>
    <t>Įsigyta baldų ir įrangos</t>
  </si>
  <si>
    <t>03</t>
  </si>
  <si>
    <t>Aplinkos apsaugos programa</t>
  </si>
  <si>
    <t>03-01</t>
  </si>
  <si>
    <t>Mažinti aplinkos taršą ir kurti miesto ekosistemą, siekiant didinti atsparumą klimato kaitos padariniams</t>
  </si>
  <si>
    <t>Atsinaujinančių išteklių dalis pagal savivaldybės energijos balansą</t>
  </si>
  <si>
    <t>Gyventojų dalis, kurių būstai veikiami padidinto triukšmo lygio, nuo visų gyventojų skaičiaus</t>
  </si>
  <si>
    <t>Kietųjų dalelių dydis 1m3</t>
  </si>
  <si>
    <t>mg</t>
  </si>
  <si>
    <t>Bendras viešųjų atskirųjų želdynų plotas, tenkantis vienam miesto gyventojui</t>
  </si>
  <si>
    <t>kv.m.</t>
  </si>
  <si>
    <t>03-01-02</t>
  </si>
  <si>
    <t>Išsaugoti biologinę įvairovę</t>
  </si>
  <si>
    <t>1.11.</t>
  </si>
  <si>
    <t>Įrengtų želdinių juostų šalia gatvių, pėsčiųjų ir dviračių takų ilgis</t>
  </si>
  <si>
    <t>m</t>
  </si>
  <si>
    <t>Įregistruotų atskirųjų želdynų sklypų plotas</t>
  </si>
  <si>
    <t>ha</t>
  </si>
  <si>
    <t>Prižiūrėtas plotas, kuriame naikinamas Sosnovskio barštis</t>
  </si>
  <si>
    <t>m2</t>
  </si>
  <si>
    <t>Pasodintų želdinių skaičius</t>
  </si>
  <si>
    <t>Naujai įrengtų atskirųjų želdynų, pritaikytų naudoti visais metų laikais, skaičius</t>
  </si>
  <si>
    <t>Įdiegtų natūralių ir pusiau natūralių pievų želdynuose plotas</t>
  </si>
  <si>
    <t>03-01-03</t>
  </si>
  <si>
    <t>Vykdyti želdinių ir miškų priežiūrą</t>
  </si>
  <si>
    <t>Užtikrinta želdinių priežiūra (genėjimas, atžalų šalinimas, kelmų sutvarkymas, laistymas, tręšimas, kaštonų lapų surinkimas), pagal skirtą finansavimą</t>
  </si>
  <si>
    <t>Robotizuotai prižiūrimų želdynų ploto dalis nuo viso želdynų ploto</t>
  </si>
  <si>
    <t>03-01-04</t>
  </si>
  <si>
    <t>Vykdyti paviršinių vandens telkinių ir lietaus nuotekų sistemos priežiūrą</t>
  </si>
  <si>
    <t>Sutvarkytų lietaus sistemos griovių skaičius</t>
  </si>
  <si>
    <t>Inventorizuotų griovių, kadastrinių matavimų įregistravimų NTR dalis nuo visų griovių</t>
  </si>
  <si>
    <t>Išvalytų vandens telkinių pakrančių plotas nuo perteklinių vandens augalų</t>
  </si>
  <si>
    <t>03-01-05</t>
  </si>
  <si>
    <t>Įgyvendinti aplinkos oro kokybės valdymo programos priemones, vykdyti aplinkos kokybės stebėseną</t>
  </si>
  <si>
    <t>Išvalyta gatvių nuo pavasarinio purvo dėl pakeltosios taršos</t>
  </si>
  <si>
    <t>km</t>
  </si>
  <si>
    <t>Įdiegta mažos taršos zonos dalis nuo visos zonos</t>
  </si>
  <si>
    <t>Žvyruotų gatvių ilgis, kurios apdorojamos dulkėtumą mažinančiomis medžiagomis</t>
  </si>
  <si>
    <t>Parengta aplinkos stebėsenos ataskaita</t>
  </si>
  <si>
    <t>03-01-06</t>
  </si>
  <si>
    <t>Likviduoti pavojingus radinius ir ekologinių avarijų padarinius</t>
  </si>
  <si>
    <t>Miesto ūkio ir aplinkos skyrius; Civilinės saugos poskyris</t>
  </si>
  <si>
    <t>Likviduotų radinių ir avarijų dalis nuo visų reikiamų likviduoti</t>
  </si>
  <si>
    <t>03-01-07</t>
  </si>
  <si>
    <t>Įgyvendinti gyvūnų gerovės priemones</t>
  </si>
  <si>
    <t>Suremontuotų ir prižiūrėtų šunų vedžiojimo ir kačių šėrimo aikštelių skaičius</t>
  </si>
  <si>
    <t>Kompensuotų veterinarinių paslaugų skaičius</t>
  </si>
  <si>
    <t>03-01-08</t>
  </si>
  <si>
    <t>Didinti gyventojų ir organizacijų supratimą apie žiedinę ekonomiką ir skatinti sąmoningumą, siekiant gyventi tvariau</t>
  </si>
  <si>
    <t>Paremtų NVO projektų skaičius</t>
  </si>
  <si>
    <t>Suorganizuotų renginių (Žemės diena, Europos judumo savaitė) skaičius</t>
  </si>
  <si>
    <t>Įgyvendintų visuomenės švietimo ir informavimo priemonių skaičius</t>
  </si>
  <si>
    <t>03-01-09</t>
  </si>
  <si>
    <t>Įgyvendinti projektą „Apsauga nuo invazinių augalų rūšių, siekiant išsaugoti biologinę įvairovę"</t>
  </si>
  <si>
    <t>Miesto ūkio ir aplinkos skyrius; Viešųjų investicijų skyrius</t>
  </si>
  <si>
    <t>Parengtas invazinių rūšių naikinimo planas</t>
  </si>
  <si>
    <t>Atlikta invazinių rūšių naikinimo paslauga</t>
  </si>
  <si>
    <t>03-01-10</t>
  </si>
  <si>
    <t>Įgyvendinti projektą „Atsparios ir ekologiškos aplinkos kūrimas Šiauliuose ir Liepojoje"</t>
  </si>
  <si>
    <t>Parengta žalinimo plano</t>
  </si>
  <si>
    <t>Realizuota žalinimo iniciatyva</t>
  </si>
  <si>
    <t>03-02</t>
  </si>
  <si>
    <t>Taikyti žiedinės ekonomikos principus komunalinių atliekų tvarkyme</t>
  </si>
  <si>
    <t>Sąvartynuose šalinamų komunalinių atliekų dalis nuo visų susidariusių komunalinių atliekų</t>
  </si>
  <si>
    <t>Atliekų, tenkančių vienam gyventojui, kiekis</t>
  </si>
  <si>
    <t>kg</t>
  </si>
  <si>
    <t>03-02-01</t>
  </si>
  <si>
    <t>Skatinti komunalinių atliekų rūšiuojamąjį surinkimą</t>
  </si>
  <si>
    <t>Miesto ūkio ir aplinkos skyrius; VŠĮ Šiaulių regiono atliekų tvarkymo centras</t>
  </si>
  <si>
    <t>Išrūšiuotų (atskirai surinktų), atliekų dalis nuo visų komunalinių atliekų</t>
  </si>
  <si>
    <t>Sutvarkytas komunalinių atliekų kiekis</t>
  </si>
  <si>
    <t>t</t>
  </si>
  <si>
    <t>04</t>
  </si>
  <si>
    <t>Urbanistinės plėtros ir infrastruktūros programa</t>
  </si>
  <si>
    <t>Miesto ūkio ir aplinkos skyrius; Architektūros skyrius</t>
  </si>
  <si>
    <t>04-01</t>
  </si>
  <si>
    <t>Kompleksiškai planuoti gyvybingą ir nuoseklią miesto struktūrą</t>
  </si>
  <si>
    <t>Kompleksiniais teritorijų planavimo dokumentais naujai suplanuotų teritorijų bendras plotas, palyginti su bendru miesto urbanizuotų teritorijų plotu</t>
  </si>
  <si>
    <t>04-01-01</t>
  </si>
  <si>
    <t>Koreguoti Šiaulių miesto savivaldybės teritorijos bendrąjį planą</t>
  </si>
  <si>
    <t>Architektūros skyrius</t>
  </si>
  <si>
    <t>Atliktas Bendrojo plano pakeitimas</t>
  </si>
  <si>
    <t>Atliktas Bendrojo plano koregavimas</t>
  </si>
  <si>
    <t>04-01-02</t>
  </si>
  <si>
    <t>Organizuoti detaliųjų ir specialiųjų planų parengimą</t>
  </si>
  <si>
    <t>Parengtų detaliųjų ir specialiųjų planų skaičius</t>
  </si>
  <si>
    <t>Atliktas supaprastinta tvarka parengto detaliojo plano sklypo Marijampolės g.22 keitimas</t>
  </si>
  <si>
    <t>Atliktas supaprastinta tvarka parengto detalaus plano teritorijos Architektų g.1, Šiauliuose  koregavimas</t>
  </si>
  <si>
    <t>Parengtas Salduvės parko teritorijos Šiauliuose detalusis planas</t>
  </si>
  <si>
    <t>Parengtas teritorijos, esančios tarp Gytarių g., Javų g., Pailių g. ir Ringuvos g. sklypų Nr. 1-29, Šiauliuose, detaliojo plano rengimo paslauga</t>
  </si>
  <si>
    <t>Parengtas teritorijos esančios tarp Voveriškių g., Tilžės g. ir Vijolės upelio, Šiauliuose detalusis planas</t>
  </si>
  <si>
    <t>Parengtas teritorijos, esančios tarp Žaliūkių g., Voveriškių g., ir Vijolės upelio, Šiauliuose, detalusis planas</t>
  </si>
  <si>
    <t>Parengtas teritorijos, esančios tarp Vytauto g., Ežero g. ir Vilniaus g., Šiauliuose, detaliojo plano rengimas</t>
  </si>
  <si>
    <t>Parengtas teritorijos, esančios tarp Vilniaus g., Vilniaus g. 96 Trakų g. ir Ežero g., Šiauliuose, detaliojo plano rengimas</t>
  </si>
  <si>
    <t>Prengtas Zoknių gyvenamojo  rajono Šiauliuose, detaliojo plano koregavimas</t>
  </si>
  <si>
    <t>Parengtas industrinio parko (teritorijos šalia Dubijos, Radviliškio, P. Motiekaičio gatvių) Šiauliuose detaliojo plano koregavimo koregavimas žemės sklypo F. Vaitkaus g. ribose</t>
  </si>
  <si>
    <t>Parengtas Prisikėlimo aikštės su prieigomis detaliojo plano keitimo koregavimo žemės sklypo Varpo g. 22C ribose</t>
  </si>
  <si>
    <t>Parengtas kvartalo tarp Vilniaus, Vasario 16-osios, Vytauto gatvių ir Draugystės prospekto detaliojo plano koregavimas sklype Draugystės pr. 23</t>
  </si>
  <si>
    <t>Parengtas detalusis planas teritorijos, esančios tarp Energetikų g., Pirties g. ir Mechanikų g., Šiauliuose</t>
  </si>
  <si>
    <t>Parengtas detalusis planas teritorijos tarp Gardino, Architektų, Aukštabalio (dabar – Jablonskio) g. ir Lieporių gyvenamojo kvartalo</t>
  </si>
  <si>
    <t>Parengtas žemės sklypo Dubijos g. 83, Šiauliuose, detalusis planas</t>
  </si>
  <si>
    <t>Parengtas teritorijos ribojamos Darbininkų, Vilniaus ir Medelyno gatvių Šiauliuose, detalusis planas</t>
  </si>
  <si>
    <t>Parengtas teritorijos ribojamos Rasos ir Aukštabalio gatvių  Šiauliuose, detalusis planas</t>
  </si>
  <si>
    <t>04-01-03</t>
  </si>
  <si>
    <t>Įgyvendinti  žemės paėmimo visuomenės poreikiams procedūrą</t>
  </si>
  <si>
    <t>Žemės valdymo skyrius</t>
  </si>
  <si>
    <t>Įgyvendinta žemės paėmimo visuomenės poreikiams procedūra, paimtas žemės sklypas visuomenės poreikiams</t>
  </si>
  <si>
    <t>Parengta sąnaudų naudos analizė</t>
  </si>
  <si>
    <t>04-01-04</t>
  </si>
  <si>
    <t>Rengti žemėtvarkos planavimo dokumentus, žemės sklypų kadastrinius matavimus</t>
  </si>
  <si>
    <t>Parengtų kadastrinių matavimų bylų, žemės sklypų pertvarkymo projektų skaičius</t>
  </si>
  <si>
    <t>04-01-05</t>
  </si>
  <si>
    <t>Užtikrini tvarų, miesto identitetą pabrėžiantį miesto planavimą</t>
  </si>
  <si>
    <t>Architektūros skyrius; Miesto plėtros ir paveldosaugos skyrius</t>
  </si>
  <si>
    <t>Urbanistinių ir architektūrinių vizijų / koncepcijų / planų skaičius</t>
  </si>
  <si>
    <t>Atnaujintų miesto vartų ženklų, remiantis miesto identiteto simbolika, skaičius</t>
  </si>
  <si>
    <t>Sukurta miesto vizualinio identiteto strategija, išryškinanti miesto identitetą, jį skatinančių, vizualinių, meninių priemonių / objektų, akcentų naudojimą</t>
  </si>
  <si>
    <t>Suorganizuotų urbanistinių ar architektūrinių konkursų skaičius</t>
  </si>
  <si>
    <t>Suorganizuotas meninių akcentų, aštuoniems istorijos šimtmečiams įamžinti, architektūrinės meninės idėjos sukūrimo konkursas</t>
  </si>
  <si>
    <t>Parengtas  meninių akcentų, aštuoniems istorijos šimtmečiams įamžinti, architektūrinės meninės idėjos realizavimo projektas</t>
  </si>
  <si>
    <t>04-01-06</t>
  </si>
  <si>
    <t>Organizuoti projektinių darbų finansavimą</t>
  </si>
  <si>
    <t>Statybos ir renovacijos skyrius; Miesto ūkio ir aplinkos skyrius; Miesto plėtros ir paveldosaugos skyrius</t>
  </si>
  <si>
    <t>Miesto plėtros ir paveldosaugos skyriaus parengtų techninių projektų skaičius</t>
  </si>
  <si>
    <t>Statybos ir renovacijos skyriaus parengtų statybos projektų skaičius</t>
  </si>
  <si>
    <t>1.10.</t>
  </si>
  <si>
    <t>Miesto ūkio ir aplinkos skyriaus parengtų techninių projektų skaičius</t>
  </si>
  <si>
    <t>04-01-07</t>
  </si>
  <si>
    <t>Konvertuoti centro teritorijoje esančių pramoninių kompleksų teritorijas į mišrios paskirties miesto teritorijas</t>
  </si>
  <si>
    <t>Parengtų kompleksinių teritorijų planavimo dokumentų, kuriuose numatyta pramoninių teritorijų konversija, skaičius</t>
  </si>
  <si>
    <t>Urbanistinių / architektūrinių konkursų konversinėse teritorijose skaičius</t>
  </si>
  <si>
    <t>04-01-08</t>
  </si>
  <si>
    <t>Planuoti naują plėtrą centrinėse, gerai aprūpintose miesto teritorijose ir skatinti mažaaukštės, bet tankios tipologijos atsiradimą (kotedžai)</t>
  </si>
  <si>
    <t>Naujų statybos leidimų skaičius senamiestyje, miesto periferiniuose centruose, gyvenamosiose didelio užstatymo intensyvumo teritorijose ir kitose didelio užstatymo teritorijose</t>
  </si>
  <si>
    <t>Kompleksinių teritorijų planavimo dokumentais naujai suplanuotas plotas senamiestyje, miesto periferiniuose centruose, gyvenamosiose didelio užstatymo intensyvumo teritorijose ir kitose didelio užstatymo teritorijose</t>
  </si>
  <si>
    <t>Mažaaukštės, bei tankios tipologijos (kotedžai) teritorijų planavimo dokumentais suplanuotas plotas</t>
  </si>
  <si>
    <t>04-01-09</t>
  </si>
  <si>
    <t>Organizuoti miesto erdvinių duomenų bazės techninę priežiūrą, programinės įrangos atnaujinimą</t>
  </si>
  <si>
    <t>Atnaujintos programinės įrangos skaičius</t>
  </si>
  <si>
    <t>04-01-10</t>
  </si>
  <si>
    <t>Organizuoti Šiaulių miesto savivaldybės geodezijos ir kartografijos darbus</t>
  </si>
  <si>
    <t>Parengtų topografinių planų skaičius</t>
  </si>
  <si>
    <t>04-01-11</t>
  </si>
  <si>
    <t>Įgyvendinti projektą „Šiaulių miesto miškų sklypų suformavimas ir įregistravimas nekilnojamo turto registre“</t>
  </si>
  <si>
    <t>Viešųjų investicijų skyrius; Žemės valdymo skyrius</t>
  </si>
  <si>
    <t>Suformuotų ir įregistruotų miesto miškų sklypų</t>
  </si>
  <si>
    <t>04-01-12</t>
  </si>
  <si>
    <t>Įsigyti žemės sklypus reikalingus nuosekliai miesto infrastruktūrai vystyti</t>
  </si>
  <si>
    <t>Įsigyti žemės sklypus ar sklypo dalis reikalingus nuosekliai miesto infrastruktūrai vystyti</t>
  </si>
  <si>
    <t>04-02</t>
  </si>
  <si>
    <t>Formuoti darnias miesto jungtis, užtikrinančias tvarų ir saugų judėjimą mieste</t>
  </si>
  <si>
    <t>Neasfaltuotų gatvių dalis nuo viso gatvių tinklo</t>
  </si>
  <si>
    <t>Atnaujintų pėsčiųjų takų dalis nuo bendro takų ilgio</t>
  </si>
  <si>
    <t>Dviračių takų ilgis metų pabaigoje, tenkantis 1 tūkst. gyventojų</t>
  </si>
  <si>
    <t>Modalinis kelionių pasiskirstymas (automobiliu)</t>
  </si>
  <si>
    <t>Modalinis kelionių pasiskirstymas (viešuoju transportu)</t>
  </si>
  <si>
    <t>Modalinis kelionių pasiskirstymas (dviračiais)</t>
  </si>
  <si>
    <t>Modalinis kelionių pasiskirstymas (pėsčiomis)</t>
  </si>
  <si>
    <t>Vidutiniškai vienam gyventojui tenkančių kelionių autobusais skaičius</t>
  </si>
  <si>
    <t>04-02-01</t>
  </si>
  <si>
    <t>Vykdyti gatvių, aikštelių, šaligatvių, dviračių ir pėsčiųjų takų remonto ir aptarnavimo darbus</t>
  </si>
  <si>
    <t>Prižiūrimų mokėjimo parkomatų skaičius</t>
  </si>
  <si>
    <t>Užtaisytas miesto gatvių (duobių išdaužų vietose) plotas</t>
  </si>
  <si>
    <t>1.06.</t>
  </si>
  <si>
    <t>Prižiūrimų gatvių su žvyro danga ilgis</t>
  </si>
  <si>
    <t>Paženklintų gatvių su asfalto danga, pėsčiųjų perėjų, sankryžų plotas</t>
  </si>
  <si>
    <t>04-02-02</t>
  </si>
  <si>
    <t>Vykdyti naujų magistralinių gatvių suprojektavimo ir nutiesimo, susisiekimo komunikacijų įrengimo, rekonstravimo ir remonto darbus</t>
  </si>
  <si>
    <t>Atlikti miesto gatvių remonto darbai pagal 2026-2028 m. reitingo eilę</t>
  </si>
  <si>
    <t>1.02.</t>
  </si>
  <si>
    <t>04-02-03</t>
  </si>
  <si>
    <t>Įgyvendinti projektą „Eismo saugos gerinimas Šiaulių mieste, šalinant juodąsias dėmes“</t>
  </si>
  <si>
    <t>Viešųjų investicijų skyrius; Miesto ūkio ir aplinkos skyrius</t>
  </si>
  <si>
    <t>Įdiegtų saugų eismą gerinančių priemonių skaičius (sankryžos / žiedai / kita)</t>
  </si>
  <si>
    <t>04-02-04</t>
  </si>
  <si>
    <t>Įgyvendinti darnaus judumo projektus Šiaulių mieste</t>
  </si>
  <si>
    <t>Įrengtų / rekonstruotų dviračių takų ilgis</t>
  </si>
  <si>
    <t>Atnaujintų / nutiestų pėsčiųjų takų ir šaligatvių ilgis</t>
  </si>
  <si>
    <t>Atlikta „Statyk ir važiuok“ aikštelių įrengimo darbų</t>
  </si>
  <si>
    <t>Įrengta „Statyk ir važiuok“ aikštelių</t>
  </si>
  <si>
    <t>Dviračiams skirta infrastruktūra, kuriai suteikta parama</t>
  </si>
  <si>
    <t>04-02-05</t>
  </si>
  <si>
    <t>Vykdyti ir kompensuoti keleivių vežimą</t>
  </si>
  <si>
    <t>04-02-06</t>
  </si>
  <si>
    <t>Gerinti viešojo transporto kokybę</t>
  </si>
  <si>
    <t>Ekonomikos skyrius; Teisės skyrius; Viešųjų investicijų skyrius; Informacinių technologijų poskyris; Miesto ūkio ir aplinkos skyrius</t>
  </si>
  <si>
    <t>Įdiegta E-bilieto sistema</t>
  </si>
  <si>
    <t>Įrengtų miesto autobusų stoginių skaičius</t>
  </si>
  <si>
    <t>Pakeistų naujais ir suremontuotų susidėvėjusių suoliukų skaičius</t>
  </si>
  <si>
    <t>Stotelių su išmaniomis informacinėmis sistemomis skaičius</t>
  </si>
  <si>
    <t>04-02-07</t>
  </si>
  <si>
    <t>Suprojektuoti, nutiesti, išasfaltuoti ar rekonstruoti žvyruotas gatves</t>
  </si>
  <si>
    <t>Išasfaltuotų ir įrengtų žvyruotų gatvių skaičius</t>
  </si>
  <si>
    <t>Išasfaltuotų žvyruotų gatvių ilgis</t>
  </si>
  <si>
    <t>Atlikti privažiavimo nuo Bačiūnų g. iki Bačiūnų g. 58F asfaltavimo darbai</t>
  </si>
  <si>
    <t>Įrengtų naujų gatvių su patobulinta danga ilgis</t>
  </si>
  <si>
    <t>04-02-08</t>
  </si>
  <si>
    <t>Rekonstruoti Tilžės g. viaduką per geležinkelį</t>
  </si>
  <si>
    <t>Atlikti Tilžės g. viaduko rekonstravimo darbai</t>
  </si>
  <si>
    <t>04-02-09</t>
  </si>
  <si>
    <t>Plėsti saugumą didinančių priemonių kiekį mieste</t>
  </si>
  <si>
    <t>Miesto ūkio ir aplinkos skyrius; Miesto koordinavimo skyrius</t>
  </si>
  <si>
    <t>Aptarnaujamų šviesos taškų (šviestuvų, prožektorių) skaičius</t>
  </si>
  <si>
    <t>Valdomų šviesoforų skaičius</t>
  </si>
  <si>
    <t>Sunaudotas elektros energijos kiekis miesto apšvietimui</t>
  </si>
  <si>
    <t>kWh</t>
  </si>
  <si>
    <t>Įrengtų saugių pėsčiųjų perėjų skaičius</t>
  </si>
  <si>
    <t>Įrengtų kelio ženklų, atitvarų, signalinių stulpelių skaičius</t>
  </si>
  <si>
    <t>Įrengtų saugumo kalnelių skaičius</t>
  </si>
  <si>
    <t>Atnaujintų / įrengtų sankryžų, kuriose numatytos saugos priemonės, skaičius</t>
  </si>
  <si>
    <t>Prižiūrimų kelio ženklų skaičius</t>
  </si>
  <si>
    <t>Viešųjų vietų vaizdo stebėjimo kamerų skaičius</t>
  </si>
  <si>
    <t>Įdiegtos Viešųjų vietų vaizdo stebėjimo sistemos funkcionalumą užtikrinančios įrangos tipų, kuriems užtikrinamas palaikymas, skaičius</t>
  </si>
  <si>
    <t>Viešųjų vietų vaizdo stebėjimo sistemos funkcionalumą užtikrinančios naujos įrangos tipų skaičius</t>
  </si>
  <si>
    <t>04-02-10</t>
  </si>
  <si>
    <t>Plėtoti elektromobilių pakrovimo stotelių tinklą</t>
  </si>
  <si>
    <t>Viešų elektromobilių pakrovimo stotelių skaičius</t>
  </si>
  <si>
    <t>04-03</t>
  </si>
  <si>
    <t>Užtikrinti tvarią, kokybišką miesto infrastruktūros plėtrą</t>
  </si>
  <si>
    <t>Renovuotų daugiabučių dalis nuo visų renovuotinų daugiabučių</t>
  </si>
  <si>
    <t>Naujai suplanuotų / atnaujintų viešųjų erdvių plotas tenkantis 1 gyventojui</t>
  </si>
  <si>
    <t>04-03-01</t>
  </si>
  <si>
    <t>Tvarkyti aplinką ir vykdyti priežiūros darbus</t>
  </si>
  <si>
    <t>Miesto ūkio ir aplinkos skyrius; Medelyno seniūnija; Rėkyvos seniūnija</t>
  </si>
  <si>
    <t>Sutvarkyta aplinka (žaliųjų plotų, gėlynų, benamių gyvūnų, vaikų žaidimo aikštelių priežiūra, sanitarinių paslaugų teikimas, techniškas aptarnavimas miesto renginių metu)</t>
  </si>
  <si>
    <t>04-03-02</t>
  </si>
  <si>
    <t>Vykdyti kapinių priežiūrą ir ritualines paslaugas</t>
  </si>
  <si>
    <t>Užtikrinta visų miesto kapinių priežiūra (administravimas, vandens vežimas, atliekų išvežimas ir kt.)</t>
  </si>
  <si>
    <t>Išduotų leidimų laidoti valstybės lėšomis skaičius</t>
  </si>
  <si>
    <t>Pervežtų žmonių palaikų skaičius</t>
  </si>
  <si>
    <t>04-03-08</t>
  </si>
  <si>
    <t>Įgyvendinti projektą „Lieporių parko atgaivinimas ir pritaikymas bendruomenės veiklai“</t>
  </si>
  <si>
    <t>Viešųjų investicijų skyrius; Miesto plėtros ir paveldosaugos skyrius</t>
  </si>
  <si>
    <t>Atlikta kompleksinio parko sutvarkymo rangos darbų dalis</t>
  </si>
  <si>
    <t>04-03-09</t>
  </si>
  <si>
    <t>Įgyvendinti projektą „Tankiai apgyvendintos Šiaulių miesto urbanizuotos teritorijos atgaivinimas, žalinimas ir funkcionalumo didinimas“</t>
  </si>
  <si>
    <t>Atliktų rangos darbų dalis</t>
  </si>
  <si>
    <t>Parengta teritorijų planavimo dokumentų</t>
  </si>
  <si>
    <t>04-03-10</t>
  </si>
  <si>
    <t>Kompleksiškai atnaujinti daugiabučių mikrorajonų teritorijas</t>
  </si>
  <si>
    <t>Atnaujintų mikrorajonų bendrojo naudojimo erdvių ir kiemų plotas</t>
  </si>
  <si>
    <t>Renovuotų daugiabučių skaičius</t>
  </si>
  <si>
    <t>Naujų statybos leidimų mikrorajonuose skaičius</t>
  </si>
  <si>
    <t>04-03-11</t>
  </si>
  <si>
    <t>Įgyvendinti Savivaldybės infrastruktūros plėtros rėmimo programą</t>
  </si>
  <si>
    <t>Sukurtų infrastruktūros objektų (pasirašyta savivaldybės infrastruktūros plėtros sutarčių) skaičius</t>
  </si>
  <si>
    <t>05</t>
  </si>
  <si>
    <t>Ekonominės plėtros programa</t>
  </si>
  <si>
    <t>Kultūros skyrius; Ekonomikos skyrius</t>
  </si>
  <si>
    <t>05-01</t>
  </si>
  <si>
    <t>Pagerinti investicijų pritraukimo ir verslo plėtros sąlygas</t>
  </si>
  <si>
    <t>Tiesioginės užsienio investicijos (TUI), tenkančios 1 gyv.</t>
  </si>
  <si>
    <t>Registruotų bedarbių ir darbingo amžiaus gyventojų santykis</t>
  </si>
  <si>
    <t>Veikiančių ūkio subjektų skaičius metų pradžioje, tenkantis 1 tūkst. gyv.</t>
  </si>
  <si>
    <t>05-01-01</t>
  </si>
  <si>
    <t>Skatinti smulkiojo ir vidutinio verslo subjektus</t>
  </si>
  <si>
    <t>Įgyvendintų skatinimo priemonių skaičius</t>
  </si>
  <si>
    <t>05-01-02</t>
  </si>
  <si>
    <t>Įgyvendinti verslo subjektų mokymo programas</t>
  </si>
  <si>
    <t>Surengtų mokymų skaičius</t>
  </si>
  <si>
    <t>Suorganizuotų verslo sklaidos renginių skaičius</t>
  </si>
  <si>
    <t>Suteiktų konsultacijų trukmė</t>
  </si>
  <si>
    <t>val.</t>
  </si>
  <si>
    <t>05-01-03</t>
  </si>
  <si>
    <t>Įgyvendinti jaunimo verslumo skatinimo programą</t>
  </si>
  <si>
    <t>Konsultuotų asmenų skaičius</t>
  </si>
  <si>
    <t>Suorganizuotų verslumo mokymo ir verslo informacinės sklaidos renginių skaičius</t>
  </si>
  <si>
    <t>05-01-04</t>
  </si>
  <si>
    <t>Įgyvendinti inkubavimo, konsultavimo, mentorystės ir tinklaveikos programų vystymą, skatinant pradedančiųjų smulkiojo ir vidutinio verslo subjektų kūrimąsi ir augimą</t>
  </si>
  <si>
    <t>Smulkiojo ir vidutinio verslo subjektų dalyvavusių projekte skaičius</t>
  </si>
  <si>
    <t>05-01-05</t>
  </si>
  <si>
    <t>Įgyvendinti projektus skatinančius verslų kūrimąsi, vystymąsi, bendradarbiavimą, žinių mainus, inovacijų ir technologijų kūrimą</t>
  </si>
  <si>
    <t>Pasirašytos sutartys</t>
  </si>
  <si>
    <t>05-01-06</t>
  </si>
  <si>
    <t>Parengti (atnaujinti) investicijų projektus</t>
  </si>
  <si>
    <t>Statybos ir renovacijos skyrius; Viešųjų investicijų skyrius</t>
  </si>
  <si>
    <t>Parengtų, atnaujintų investicijų projektų ir/ar kitų reikiamų dokumentų lėšų pritraukimui skaičius</t>
  </si>
  <si>
    <t>05-01-07</t>
  </si>
  <si>
    <t>Vystyti Šiaulių pramoninio parko ir Šiaulių laisvosios ekonominės zonos infrastruktūrą</t>
  </si>
  <si>
    <t>Miesto ūkio ir aplinkos skyrius; Ekonomikos skyrius; Viešųjų investicijų skyrius</t>
  </si>
  <si>
    <t>Baigta tvarkyti geležinkelio turto įvedimo į eksploataciją dokumentacija</t>
  </si>
  <si>
    <t>Įgyvendintas elektros galios padidinimo projektas</t>
  </si>
  <si>
    <t>Krovos aikštelių teritorija pritaikyta muitinės veiklai</t>
  </si>
  <si>
    <t>05-01-08</t>
  </si>
  <si>
    <t>Vykdyti Šiaulių Oro uosto plėtrą</t>
  </si>
  <si>
    <t>SĮ Šiaulių oro uostas; Ekonomikos skyrius</t>
  </si>
  <si>
    <t>Įvykdytų specialiųjų aviacijos saugumo užtikrinimo įsipareigojimų dalis</t>
  </si>
  <si>
    <t>05-01-09</t>
  </si>
  <si>
    <t xml:space="preserve">Sukurti integruotą investuotojų pritraukimo ir aptarnavimo sistemą </t>
  </si>
  <si>
    <t>Suorganizuotų renginių skaičius</t>
  </si>
  <si>
    <t>Sukurtų publikacijų, įrašų Lietuvos ir užsienio žiniasklaidos priemonėse skaičius</t>
  </si>
  <si>
    <t>Dalyvauta verslo misijose</t>
  </si>
  <si>
    <t>Sukurtų edukacinių rinkodaros priemonių skaičius</t>
  </si>
  <si>
    <t>Parengtų miesto istorijų, interviu ciklų skaičius</t>
  </si>
  <si>
    <t>Įgyvendinta reklaminė kampanija "Šiauliai - karjeros miestas"</t>
  </si>
  <si>
    <t>Mokamų užsienio ir nacionaliniuose informacijos kanaluose paviešintų turinio vienetų (straipsnių, reklamų maketų, TV laidų, reportažų ir kt.) skaičius</t>
  </si>
  <si>
    <t>Suorganizuotų verslo misijų / vizitų Šiauliuose ir užsienyje, užsienio ir šalies tikslinėms auditorijoms, skaičius</t>
  </si>
  <si>
    <t>Atlikta Šiaulių miesto gyventojų, verslininkų, asocijuotų verslo struktūrų, turistų ir kt. apklausa</t>
  </si>
  <si>
    <t>05-01-10</t>
  </si>
  <si>
    <t>Pritraukti ir išlaikyti specialistus, emigravusius šiauliečius į Šiaulių miestą</t>
  </si>
  <si>
    <t>Vicemeras; Ekonomikos skyrius</t>
  </si>
  <si>
    <t>Pritrauktų ir išlaikytų aukštos kvalifikacijos specialistų skaičius</t>
  </si>
  <si>
    <t>Šiaulių miesto ambasadorių užsienyje skaičius</t>
  </si>
  <si>
    <t>Suorganizuotų nuotolinių ir fizinių susitikimų su Šiaulių miesto diasporos atstovais skaičius</t>
  </si>
  <si>
    <t>Internetinių svetainių "Globalūs Šiauliai" ir www.karjerasiauliuose.lt lankytojų skaičius</t>
  </si>
  <si>
    <t>tūkst.</t>
  </si>
  <si>
    <t>05-01-11</t>
  </si>
  <si>
    <t>Kompensuoti jaunoms šeimoms dalį išlaidų įsigyjant pirmą būstą</t>
  </si>
  <si>
    <t>Šeimų gavusių kompensacijas skaičius</t>
  </si>
  <si>
    <t>05-02</t>
  </si>
  <si>
    <t>Stiprinti miesto patrauklumą plėtojant turizmo sektorių</t>
  </si>
  <si>
    <t>Turistų informacijos centro lankytojų ir interneto svetainių, socialinių tinklų vartotojų skaičius</t>
  </si>
  <si>
    <t>Vietų skaičius apgyvendinimo įstaigose</t>
  </si>
  <si>
    <t>Teigiamai Šiaulių miesto įvaizdį vertinančių miesto svečių dalis (apklausa vykdoma kas 2 m.)</t>
  </si>
  <si>
    <t xml:space="preserve">05-02-01 </t>
  </si>
  <si>
    <t>Užtikrinti turizmo informacijos centro veiklą</t>
  </si>
  <si>
    <t>Kultūros skyrius; Šiaulių turizmo informacijos centras</t>
  </si>
  <si>
    <t>Sukurtų naujų ekskursijų maršrutų skaičius</t>
  </si>
  <si>
    <t>Šiaulių turizmo informacijos centro ir „Baltų kelio“ centro lankytojų</t>
  </si>
  <si>
    <t>Sukurtų naujų bendrų, mišraus pobūdžio (privačių ir viešųjų turizmo paslaugų tiekėjų) teikiamų turizmo paslaugų skaičius</t>
  </si>
  <si>
    <t>05-02-02</t>
  </si>
  <si>
    <t>Įgyvendinti projektą "Viešojo sektoriaus specialistų gebėjimų stiprinimą, siekiant gerinti teikiamų paslaugų kokybę Šiaulių miesto savivaldybės ir Bauskės rajono savivaldybės turizmo institucijose"</t>
  </si>
  <si>
    <t>Šiaulių turizmo informacijos centras</t>
  </si>
  <si>
    <t>Įgyvendintų projekto veiklų dalis</t>
  </si>
  <si>
    <t>05-02-03</t>
  </si>
  <si>
    <t>Gerinti turizmo informacinę infrastruktūrą</t>
  </si>
  <si>
    <t>Miesto ūkio ir aplinkos skyrius; Kultūros skyrius; Architektūros skyrius; Šiaulių turizmo informacijos centras</t>
  </si>
  <si>
    <t>Informacinių ženklų, stendų, stulpų, nuorodų, infoterminalų ir kt. atnaujinimas</t>
  </si>
  <si>
    <t>05-02-04</t>
  </si>
  <si>
    <t xml:space="preserve">Įgyvendinti miesto turizmo rinkodaros ir komunikacijos priemones </t>
  </si>
  <si>
    <t>Suorganizuotų tarpdisciplininių renginių priemonių apie miestą / parengtų ir (ar) išleistų  pranešimų/straipsnių skaičius</t>
  </si>
  <si>
    <t>Įrašų per nuomonės formuotojus, žurnalistus, tinklaraštininkus skaičius socialiniuose tinkluose</t>
  </si>
  <si>
    <t>Tarptautinių ir nacionalinių turizmo, studijų, kultūros, mokslo ir pan. parodų, švenčių, verslo misijų ir kt. renginių, kuriuose pristatytos Šiaulių miesto galimybės, skaičius</t>
  </si>
  <si>
    <t>Turistinių informacinių ir reprezentacinių leidinių lietuvių ir užsienio kalbomis (popieriniai ir skaitmeniniai) skaičius</t>
  </si>
  <si>
    <t>Parengtas miesto istorijų, sėkmės istorijų ir pan. ciklų (interviu, tinklalaidės, akcijos, fotoreportažų ir pan.) skaičius</t>
  </si>
  <si>
    <t>Sukurtų edukacinių, rinkodarinių priemonių (animaciniai filmukai, žaidimai, komiksai, piešinių konkursai ir kt.) skaičius</t>
  </si>
  <si>
    <t>Įsigytos reprezentacinės aprangos, suvenyrų-dovanų ir priemonių komplektų kiekis</t>
  </si>
  <si>
    <t>Suorganizuotų informacinių – pažintinių turų Lietuvos ir užsienio žiniasklaidos atstovams, turizmo sektoriaus specialistams skaičius</t>
  </si>
  <si>
    <t>Įvykdytų vietos ir užsienio turistų pasitenkinimo tyrimų skaičius</t>
  </si>
  <si>
    <t>05-02-06</t>
  </si>
  <si>
    <t>Plėtoti ir stiprinti prioritetines Šiaulių miesto ir regiono turizmo rūšis</t>
  </si>
  <si>
    <t>Įvykdytų tarptautinio kultūros kelio „Baltų kelias" ir kitų kultūros ir turistinių kelių plėtros rinkodarinių/komunikacinių ir kt. veiklų skaičius</t>
  </si>
  <si>
    <t>Vystomų prioritetinių turizmo rūšių skaičius</t>
  </si>
  <si>
    <t>Įgyvendintų religinio turizmo skatinimo programų</t>
  </si>
  <si>
    <t>Įgyvendinti projektą „Pajausk istorinį skonį“</t>
  </si>
  <si>
    <t>Kultūros kelių, pradėtų vystyti Šiaulių mieste / regione („Baltų kelias“ ir kitų kultūros, turistinių kelių) maršrutų, rinkodaros, komunikacijos ir kitų veiklų skaičius</t>
  </si>
  <si>
    <t>Parengtų Talkšos ir Salduvės parkų pritaikymo turizmui ir rekreacijai koncepcijos gairių skaičius</t>
  </si>
  <si>
    <t>Surengtų pramoninio ir gastro turizmo renginių skaičius</t>
  </si>
  <si>
    <t>05-03</t>
  </si>
  <si>
    <t>Didinti Šiaulių miesto žinomumą ir teigiamą įvaizdį, stiprinant miesto identitetą ir rinkodarą</t>
  </si>
  <si>
    <t>Bendras svetainės „www.siauliai.lt” aktyvių vartotojų skaičius</t>
  </si>
  <si>
    <t>Savivaldybės administracijos paskyrų  „Facebook” / „Instagram” socialiniuose tinkluose stebėtojų skaičius</t>
  </si>
  <si>
    <t>Savivaldybės administracijos „YouTube” kanalo prenumeratorių skaičius</t>
  </si>
  <si>
    <t>Teigiamai Šiaulių miesto įvaizdį vertinančių studentų, verslo atstovų, miesto svečių ir gyventojų dalis (apklausa vykdoma kas 2 m.)</t>
  </si>
  <si>
    <t>05-03-01</t>
  </si>
  <si>
    <t>Padidinti Šiaulių matomumą tarptautiniuose informacijos sklaidos kanaluose</t>
  </si>
  <si>
    <t>Vyriausiasis specialistas (tarptautinių ryšių koordinatorius); Vicemeras</t>
  </si>
  <si>
    <t>Tarptautinių tinklų, asocijuotų struktūrų į kurių veiklą įsitraukusi Šiaulių miesto savivaldybė, skaičius</t>
  </si>
  <si>
    <t>Tarptautinių standartų, indeksų, pagal kuriuos vertinama Šiaulių miesto savivaldybė, skaičius</t>
  </si>
  <si>
    <t>Mokamų užsienio informacijos kanaluose paviešintų turinio vienetų (straipsnių, reklamų maketų, TV laidų, reportažų ir kt.) skaičius</t>
  </si>
  <si>
    <t>05-03-02</t>
  </si>
  <si>
    <t>Stiprinti Šiaulių miesto lyderystę regiono ir šalies mastu</t>
  </si>
  <si>
    <t>Vyriausiasis specialistas (tarptautinių ryšių koordinatorius); Vicemeras; Ekonomikos skyrius</t>
  </si>
  <si>
    <t>Įkurtas už miesto komunikaciją ir rinkodarą atsakingas padalinys / institucija ar kitas alternatyvus organas</t>
  </si>
  <si>
    <t>Nacionalinių tinklų, asocijuotų struktūrų, į kurių veiklą įsitraukusi Šiaulių miesto savivaldybė, skaičius</t>
  </si>
  <si>
    <t>Mokamų šalies informacijos kanaluose paviešintų turinio vienetų (straipsnių, reklamų maketų, TV laidų, reportažų ir kt.) skaičius</t>
  </si>
  <si>
    <t>Įgyvendintų viešinimo kampanijų skaičius</t>
  </si>
  <si>
    <t>Parengta miesto identiteto, rinkodaros ir turizmo strategija</t>
  </si>
  <si>
    <t>Sukurtas miestą reprezentuojantis vaizdo filmas</t>
  </si>
  <si>
    <t>06</t>
  </si>
  <si>
    <t>Socialinės apsaugos programa</t>
  </si>
  <si>
    <t>Socialinių išmokų ir kompensacijų skyrius; Socialinių paslaugų skyrius</t>
  </si>
  <si>
    <t>06-01</t>
  </si>
  <si>
    <t>Užtikrinti nuoseklų ir efektyvų socialinių paslaugų teikimą</t>
  </si>
  <si>
    <t>Teikiamų socialinių paslaugų rūšių (bendrųjų socialinių paslaugų, socialinės priežiūros paslaugų, socialinės globos paslaugų) skaičius</t>
  </si>
  <si>
    <t>06-01-01</t>
  </si>
  <si>
    <t>Užtikrinti socialinių paslaugų įstaigų veiklą</t>
  </si>
  <si>
    <t>Socialinių paslaugų skyrius; Šiaulių miesto savivaldybės socialinių paslaugų centras; Šiaulių miesto šeimos centras; Šiaulių miesto savivaldybės globos namai; Kompleksinių paslaugų namai ,,Alka"</t>
  </si>
  <si>
    <t>Socialinių paslaugų centre teikiamų paslaugų rūšių skaičius</t>
  </si>
  <si>
    <t>Socialinių paslaugų centre aptarnautų asmenų (šeimų) skaičius</t>
  </si>
  <si>
    <t>Globos namuose teikiamų paslaugų rūšių skaičius</t>
  </si>
  <si>
    <t>Globos namuose aptarnautų asmenų skaičius</t>
  </si>
  <si>
    <t>Kompleksinių paslaugų namuose "Alka" teikiamų paslaugų rūšių skaičius</t>
  </si>
  <si>
    <t>Kompleksinių paslaugų namuose "Alka" paslaugų gavėjų skaičius</t>
  </si>
  <si>
    <t>Šeimos centre teikiamų paslaugų rūšių skaičius</t>
  </si>
  <si>
    <t>2.02.</t>
  </si>
  <si>
    <t>Šeimos centre paslaugų gavėjų skaičius</t>
  </si>
  <si>
    <t>Įstaigose įgyvendinamų projektų skaičius</t>
  </si>
  <si>
    <t>06-01-02</t>
  </si>
  <si>
    <t>Užtikrinti Globos centrų veiklą</t>
  </si>
  <si>
    <t>Budinčių globotojų skaičius</t>
  </si>
  <si>
    <t>Globos centrų skaičius</t>
  </si>
  <si>
    <t>GIMK mokymus baigusių asmenų skaičius</t>
  </si>
  <si>
    <t>Globėjų (rūpintojų) skaičius</t>
  </si>
  <si>
    <t>06-01-03</t>
  </si>
  <si>
    <t>Plėtoti socialinės globos paslaugas asmens namuose ir institucijoje</t>
  </si>
  <si>
    <t>Teikiamų paslaugų rūšių skaičius</t>
  </si>
  <si>
    <t>Asmenų, gaunančių laikino atokvėpio paslaugas, skaičius</t>
  </si>
  <si>
    <t>Dienos socialinės globos paslaugas institucijoje gaunančių asmenų skaičius</t>
  </si>
  <si>
    <t>Ilgalaikės ir trumpalaikės globos paslaugų gavėjų su sunkia negalia (unikalūs) skaičius</t>
  </si>
  <si>
    <t>Ilgalaikės ir trumpalaikės globos paslaugų gavėjų su negalia (unikalūs) skaičius</t>
  </si>
  <si>
    <t>Dienos socialinės globos paslaugų asmens namuose gavėjų su sunkia negalia (unikalūs) skaičius</t>
  </si>
  <si>
    <t>06-01-04</t>
  </si>
  <si>
    <t>Plėtoti prevencines socialines paslaugas, siekiant padėti asmenims (šeimoms) išvengti galimų socialinių problemų ir /ar socialinės rizikos atsiradimo ir sudaryti sąlygas asmeniui (šeimai) stiprinti gebėjimus savarankiškai spręsti socialines problemas</t>
  </si>
  <si>
    <t>Socialinių paslaugų skyrius; Šiaulių miesto savivaldybės socialinių paslaugų centras</t>
  </si>
  <si>
    <t>Į darbo rinką integruotų darbo rinkai besirengiančio asmens statusą turinčių asmenų (ilgalaikių bedarbių) dalis nuo visų darbo rinkai besirengiančių ilgalaikių bedarbių</t>
  </si>
  <si>
    <t>Nukentėjusiems asmenims, kurie patyrė smurtą artimoje aplinkoje, patyčias, išgyvena krizę ir moterims bei mergaitėms patyrusioms prievartą, suteiktų socialinių paslaugų skaičius</t>
  </si>
  <si>
    <t>Smurto artimoje aplinkoje pavojų keliančių asmenų, savanoriškai dalyvaujančių Smurtinio elgesio artimoje aplinkoje keitimo programoje, skaičius</t>
  </si>
  <si>
    <t>Jaunuolių, gaunančių paslaugas atvirame jaunimo centre ar atviroje jaunimo erdvėje, skaičius</t>
  </si>
  <si>
    <t>06-01-05</t>
  </si>
  <si>
    <t>Įgyvendinti Būsto pritaikymo asmenims turintiems negalią programą</t>
  </si>
  <si>
    <t>Statybos ir renovacijos skyrius; Socialinių paslaugų skyrius; Šiaulių miesto savivaldybės socialinių paslaugų centras</t>
  </si>
  <si>
    <t>Pritaikytų būstų dalis nuo visų gautų paraiškų nustatytam laikotarpiui</t>
  </si>
  <si>
    <t>06-01-06</t>
  </si>
  <si>
    <t>Didinti socialinių paslaugų prieinamumą</t>
  </si>
  <si>
    <t>Suteikta asmeninės pagalbos paslaugų asmenims su negalia dalis nuo pateiktų prašymų</t>
  </si>
  <si>
    <t>Suteikta palydėjimo jaunuoliams paslaugų dalis nuo pateiktų prašymų</t>
  </si>
  <si>
    <t>Suteikta intensyvios krizių įveikimo pagalbos paslaugų dalis nuo pateiktų prašymų</t>
  </si>
  <si>
    <t>Patenkintų prašymų pagalbos į namus paslaugai gauti dalis nuo visų pateiktų asmenų prašymų</t>
  </si>
  <si>
    <t>Socialines paslaugas pradėję gauti asmenys (grupinio gyvenimo  namuose / apgyvendinimo apsaugotame būste / socialinėse dirbtuvėse)</t>
  </si>
  <si>
    <t>Patenkintų prašymų apsaugoto būsto, socialinės globos paslaugoms grupinio gyvenimo namuose ir socialinėse dirbtuvėse gauti dalis nuo visų pateiktų prašymų</t>
  </si>
  <si>
    <t>Suteikta socialinės reabilitacijos paslaugų bendruomenėje dalis nuo gautų prašymų</t>
  </si>
  <si>
    <t>Vaikų, gaunančių socialinės priežiūros paslaugas vaikų dienos centruose, skaičius</t>
  </si>
  <si>
    <t>Vaikų su negalia dalis nuo visų vaikų dienos centrus lankančių vaikų</t>
  </si>
  <si>
    <t>Pritrauktų reikiamos kvalifikacijos socialinės srities specialistų skaičius</t>
  </si>
  <si>
    <t>Partnerysčių ir (ar) bendradarbiavimo sutarčių su socialinės srities specialistus rengiančiomis mokymo įstaigomis skaičius</t>
  </si>
  <si>
    <t>06-01-07</t>
  </si>
  <si>
    <t>Plėtoti neinstitucinės globos paslaugas vaikams</t>
  </si>
  <si>
    <t>Globėjų, globojančių vaikus skaičius</t>
  </si>
  <si>
    <t>Globojamų vaikų skaičius</t>
  </si>
  <si>
    <t>Šeimynų, globojančių vaikus skaičius</t>
  </si>
  <si>
    <t>Globojamų vaikų šeimynose skaičius</t>
  </si>
  <si>
    <t>Budinčių globotojų globojamų vaikų, likusių be tėvų globos šeimoje, skaičius</t>
  </si>
  <si>
    <t>Nuolatinių globotojų, globojančių vaikus, likusius be tėvų globos šeimoje, kuriems užtikrintas emocinis ir fizinis saugumas bei visavertis, poreikius atitinkantis ugdymas ir priežiūra, skaičius</t>
  </si>
  <si>
    <t>06-01-09</t>
  </si>
  <si>
    <t>Užtikrinti kraitelio skyrimą šeimoms, susilaukusioms kūdikio</t>
  </si>
  <si>
    <t>Socialinių paslaugų skyrius; Civilinės metrikacijos skyrius</t>
  </si>
  <si>
    <t>Nupirktų kraitelių skaičius</t>
  </si>
  <si>
    <t>Kūdikiams įteiktų kraitelių dalis nuo visų per metus gimusių kūdikių</t>
  </si>
  <si>
    <t>06-01-10</t>
  </si>
  <si>
    <t>Įgyvendinti projektą „Kompleksinės paslaugos šeimai Šiaulių miesto savivaldybėje"</t>
  </si>
  <si>
    <t>Paslaugų gavėjų skaičius</t>
  </si>
  <si>
    <t>Bendruomeninių šeimos namų darbuotojų, organizuojančių kompleksinių paslaugų teikimą šeimai, skaičius</t>
  </si>
  <si>
    <t>06-01-11</t>
  </si>
  <si>
    <t>Įgyvendinti projektą ,,Socialinės įtraukties ir įgalinimo stiprinimas pažeidžiamoms grupėms per integruotą ir kūrybingą metodiką“</t>
  </si>
  <si>
    <t>Pateikta paraiška finansavimui gauti</t>
  </si>
  <si>
    <t>06-01-12</t>
  </si>
  <si>
    <t>Įgyvendinti materialinio nepritekliaus mažinimo programą</t>
  </si>
  <si>
    <t>Šeimų, gaunančių paramą, skaičius</t>
  </si>
  <si>
    <t>06-01-13</t>
  </si>
  <si>
    <t>Įgyvendinti projektą „Perėjimas nuo institucinės globos prie bendruomeninių paslaugų Sostinės regione Vidurio ir vakarų Lietuvos regione"</t>
  </si>
  <si>
    <t>Socialinių paslaugų skyrius; Viešųjų investicijų skyrius</t>
  </si>
  <si>
    <t>Pasirašytų sutikimų dalyvauti atvejo vadybos modelio taikyme su asmenims, turinčiais psichikos ir (ar) intelekto negalią, skaičius</t>
  </si>
  <si>
    <t>Partnerių, vykdančių socialinių įgūdžių ugdymo, palaikymo ir (ar) atkūrimo (socialinių dirbtuvių) veiklą, skaičius</t>
  </si>
  <si>
    <t>Socialinių dirbtuvių veikloje dalyvaujančių asmenų, turinčių psichikos ir (ar) intelekto negalią, skaičius</t>
  </si>
  <si>
    <t>Inicijuotų atvejo vadybos modelio taikymo atvejų skaičius (potencialių paslaugų gavėjų skaičius)</t>
  </si>
  <si>
    <t>06-02</t>
  </si>
  <si>
    <t>Užtikrinti socialinių paslaugų prieinamumą ir kokybę, plečiant, atnaujinant ir modernizuojant socialinių paslaugų infrastruktūrą</t>
  </si>
  <si>
    <t>Socialinių įstaigų pastatų skaičius</t>
  </si>
  <si>
    <t>Asmenų ir šeimų, laukiančių socialinio būsto nuomos, laukimo laikas</t>
  </si>
  <si>
    <t>metai</t>
  </si>
  <si>
    <t>Socialinių įstaigų pastatų, kurie yra geros būklės, skaičius</t>
  </si>
  <si>
    <t>06-02-02</t>
  </si>
  <si>
    <t>Šeimoje ir bendruomenėje teikiamų paslaugų, asmenims su proto ir intelekto negalia, plėtra</t>
  </si>
  <si>
    <t>Statybos ir renovacijos skyrius; Socialinių paslaugų skyrius; Viešųjų investicijų skyrius</t>
  </si>
  <si>
    <t>Įsigytų apsaugotų būstų skaičius</t>
  </si>
  <si>
    <t>Socialinių dirbtuvių skaičius</t>
  </si>
  <si>
    <t>Pastatytų grupinio gyvenimo namų skaičius</t>
  </si>
  <si>
    <t>06-02-05</t>
  </si>
  <si>
    <t>Įgyvendinti projektą „Socialinio būsto fondo plėtra Šiaulių miesto savivaldybėje"</t>
  </si>
  <si>
    <t>Turto valdymo skyrius; Viešųjų investicijų skyrius</t>
  </si>
  <si>
    <t>Nupirktų būstų skaičius</t>
  </si>
  <si>
    <t>06-03</t>
  </si>
  <si>
    <t>Užtikrinti valstybės garantuotos piniginės socialinės paramos teikimą</t>
  </si>
  <si>
    <t>Piniginės socialinės paramos gavėjų dalis nuo bendro Šiaulių miesto gyventojų skaičiaus</t>
  </si>
  <si>
    <t>06-03-01</t>
  </si>
  <si>
    <t>Skirti ir išmokėti išmokas ir kompensacijas</t>
  </si>
  <si>
    <t>Socialinių išmokų ir kompensacijų gavėjų skaičius</t>
  </si>
  <si>
    <t>Laidojimo pašalpų gavėjų skaičius</t>
  </si>
  <si>
    <t>06-03-02</t>
  </si>
  <si>
    <t>Skirti ir išmokėti išmokas vaikams</t>
  </si>
  <si>
    <t>Išmokų gavėjų skaičius</t>
  </si>
  <si>
    <t>Patvirtintų pareigybių skaičius</t>
  </si>
  <si>
    <t>06-03-03</t>
  </si>
  <si>
    <t>Skirti ir išmokėti tikslines kompensacijas</t>
  </si>
  <si>
    <t>06-03-04</t>
  </si>
  <si>
    <t>Skirti kompensacijas nepriklausomybės gynėjams nukentėjusiems nuo 1991 m. sausio 11-13 d. ir po to vykdytos SSRS agresijos</t>
  </si>
  <si>
    <t>06-03-05</t>
  </si>
  <si>
    <t>Skirti kitas išmokas</t>
  </si>
  <si>
    <t>06-03-06</t>
  </si>
  <si>
    <t>Skirti socialinę paramą moksleiviams</t>
  </si>
  <si>
    <t>06-03-07</t>
  </si>
  <si>
    <t>Įgyvendinti vystomojo bendradarbiavimo veiklą ir teikti humanitarinę pagalbą</t>
  </si>
  <si>
    <t>Civilinės saugos ir teisėtvarkos skyrius</t>
  </si>
  <si>
    <t>Suteikta pagalba (parama) šaliai, kurioje įvesta nepaprastoji padėtis ir (ar) karo padėtis</t>
  </si>
  <si>
    <t>07</t>
  </si>
  <si>
    <t>Sporto programa</t>
  </si>
  <si>
    <t>Sporto skyrius</t>
  </si>
  <si>
    <t>07-01</t>
  </si>
  <si>
    <t>Skatinti gyventojų fizinio aktyvumo veiklas ir plėtoti aukšto meistriškumo sportininkų rengimo sistemą</t>
  </si>
  <si>
    <t>Sportuojančiųjų sporto klubuose ir sportininkų rengimo centruose dalis nuo gyventojų skaičiaus</t>
  </si>
  <si>
    <t>Europos ir pasaulio suaugusiųjų čempionatų olimpinių sporto šakų 1-3 v. laimėtojai</t>
  </si>
  <si>
    <t>07-01-01</t>
  </si>
  <si>
    <t>Užtikrinti sporto įstaigų veiklą</t>
  </si>
  <si>
    <t>Sporto įstaigose rengiamų sportininkų</t>
  </si>
  <si>
    <t>Rinktinės narių (suaugusiųjų amžiaus grupėje)</t>
  </si>
  <si>
    <t>Rinktinės narių (jaunučių, jaunių, jaunimo amžiaus grupėse) skaičius</t>
  </si>
  <si>
    <t>Užtikrintas sportininkų medicininis aptarnavimas Šiaulių lengvosios atletikos ir sveikatingumo centre, gydytojų skaičius</t>
  </si>
  <si>
    <t>etatas</t>
  </si>
  <si>
    <t>Užtikrintas sportininkų medicininis aptarnavimas Šiaulių lengvosios atletikos ir sveikatingumo centre, kitų medicinos darbuotojų skaičius</t>
  </si>
  <si>
    <t>07-01-02</t>
  </si>
  <si>
    <t>Užtikrinti sportininkų rengimo centrų veiklą</t>
  </si>
  <si>
    <t>Sporto skyrius; Sportininkų rengimo centrai</t>
  </si>
  <si>
    <t>Komandų, dalyvaujančių LFF A, I ir II lygos varžybose</t>
  </si>
  <si>
    <t>Futbolo plėtros programoje rengiamų sportininkų</t>
  </si>
  <si>
    <t>Komandų, dalyvaujančių Regiono lygos varžybose skaičius</t>
  </si>
  <si>
    <t>Krepšinio plėtros programoje rengiamų sportininkų skaičius</t>
  </si>
  <si>
    <t>07-01-03</t>
  </si>
  <si>
    <t>Vykdyti miesto, apskrities, šalies ir tarptautinius sporto renginius bei pasirengti ir dalyvauti šalies ir tarptautinėse varžybose (Baltijos, Europos ir pasaulio čempionato varžybos, kompleksiniai renginiai ir kt.)</t>
  </si>
  <si>
    <t>Šalies sporto šakų čempionatuose, taurės varžybose (suaugusiųjų amžiaus grupėje) laimėta 1–3 vietų</t>
  </si>
  <si>
    <t>Šalies sporto šakų čempionatuose, taurės varžybose (jaunučių, jaunių, jaunimo amžiaus grupėse) laimėta 1–3 vietų</t>
  </si>
  <si>
    <t>Europos čempionate iškovotų 1–6 vietų ir pasaulio čempionate, taurės varžybose (suaugusiųjų amžiaus grupėje) iškovotų 1–10 vietų</t>
  </si>
  <si>
    <t>Europos čempionate iškovotų 1–6 vietų ir pasaulio čempionate, taurės varžybose (jaunučių, jaunių, jaunimo amžiaus grupėse) iškovotų 1–10 vietų</t>
  </si>
  <si>
    <t>Perspektyviausių jaunimo ir suaugusiųjų Šiaulių miesto sportininkų skaičius</t>
  </si>
  <si>
    <t>Organizuotoje aukšto meistriškumo sporto veikloje dalyvaujančių žmonių su negalia skaičius</t>
  </si>
  <si>
    <t>Rinktinės narių (suaugusiųjų amžiaus grupėje) skaičius</t>
  </si>
  <si>
    <t>Rinktinės narių (jaunių, jaunimo amžiaus grupėse) skaičius</t>
  </si>
  <si>
    <t>Surengtų sporto renginių skaičius</t>
  </si>
  <si>
    <t>07-01-04</t>
  </si>
  <si>
    <t>Pasirengti ir dalyvauti Lietuvos čempionato ir sporto šakų federacijų taurės, Baltijos lygos ir taurės laimėtojų, Europos taurės ir kitose oficialiose varžybose (žaidimų komandų jaunimo ir suaugusiųjų amžiaus grupė)</t>
  </si>
  <si>
    <t>Komandų, dalyvaujančių šalies varžybose skaičius</t>
  </si>
  <si>
    <t>Lietuvos čempionatuose laimėtų 1–3 vietų (suaugusiųjų žaidimų komandos) skaičius</t>
  </si>
  <si>
    <t>Komandų, dalyvaujančių tarptautinėse varžybose skaičius</t>
  </si>
  <si>
    <t>Tarptautinėse varžybose laimėta 1–3 vietų</t>
  </si>
  <si>
    <t>Rinktinės narių (jaunimo amžiaus grupėje) skaičius</t>
  </si>
  <si>
    <t>07-01-05</t>
  </si>
  <si>
    <t>Įgyvendinti Šiaulių miesto reprezentacinių renginių programą</t>
  </si>
  <si>
    <t>Sporto skyrius; Šiaulių miesto sporto organizacijos</t>
  </si>
  <si>
    <t>Surengtų miestą reprezentuojančių sporto renginių (tame tarpe Europos ir pasaulio čempionatų, taurės varžybų) skaičius</t>
  </si>
  <si>
    <t>Surengtų sporto renginių dalyvių skaičius</t>
  </si>
  <si>
    <t>07-01-06</t>
  </si>
  <si>
    <t>Skatinti sportininkus ir trenerius laimėjusius aukštas vietas tarptautinės varžybose</t>
  </si>
  <si>
    <t>Paskatinta aukšto meistriškumo sportininkų</t>
  </si>
  <si>
    <t>Premijų (stipendijų), skirtų sportininkams skaičius</t>
  </si>
  <si>
    <t>Paskatinta aukšto meistriškumo sportininkų trenerių</t>
  </si>
  <si>
    <t>07-01-07</t>
  </si>
  <si>
    <t>Kompensuoti tėvų atlyginimą už teikiamas sportinio rengimo paslaugas sporto įstaigose ir sportininkų rengimo centruose</t>
  </si>
  <si>
    <t>Atlyginimo lengvatą už teikiamas sportinio rengimo paslaugas gaunančių asmenų</t>
  </si>
  <si>
    <t>07-01-08</t>
  </si>
  <si>
    <t>Skatinti savarankišką fizinį aktyvumą įvairiose gyventojų grupėse</t>
  </si>
  <si>
    <t>Savivaldybės administracijos dalinai finansuojamų organizuotų fizinio aktyvumo užsiėmimų dalyvių dalis nuo bendro Šiaulių m. gyventojų skaičiaus</t>
  </si>
  <si>
    <t>Savivaldybės administracijos dalinai finansuojamų organizuotų fizinio aktyvumo veiklose dalyvavusių negalią turinčių asmenų skaičius</t>
  </si>
  <si>
    <t>Atliktas pilotinis tyrimas dėl Savivaldybės švietimo įstaigų uždaros sporto infrastruktūros atvėrimo bendruomenės sporto ir fizinio aktyvumo poreikiams tenkinti</t>
  </si>
  <si>
    <t>07-01-09</t>
  </si>
  <si>
    <t>Mokyti vaikus plaukti ir saugiai elgtis vandenyje ir prie vandens</t>
  </si>
  <si>
    <t>Sporto skyrius; Šiaulių plaukimo centras ,,Delfinas"</t>
  </si>
  <si>
    <t>Išmokytų plaukti vaikų dalis nuo bendro 1–4 klasių mokinių skaičiaus Šiaulių miesto bendrojo ugdymo mokyklose</t>
  </si>
  <si>
    <t>07-02</t>
  </si>
  <si>
    <t>Išvystyti gyventojų poreikius atitinkančią sporto ir fizinio aktyvumo infrastruktūrą</t>
  </si>
  <si>
    <t>Savivaldybės sporto įstaigų pastatų / statinių, bazių skaičius</t>
  </si>
  <si>
    <t>Savivaldybės sporto įstaigų pastatų / statinių, bazių, kurios yra geros būklės, skaičius</t>
  </si>
  <si>
    <t>Savivaldybės sporto įstaigų pastatų / statinių, bazių, pritaikytų fizinę negalią turintiems asmenims, dalis</t>
  </si>
  <si>
    <t>07-02-01</t>
  </si>
  <si>
    <t>Įgyvendinti projektą „Bendrojo ugdymo, neformaliojo ugdymo ir kitų viešųjų paslaugų teikimui trūkstamos infrastruktūros sukūrimas, adresu J. Jablonskio g. 14, Šiauliai“</t>
  </si>
  <si>
    <t>Architektūros skyrius; Statybos ir renovacijos skyrius; Sporto skyrius; Viešųjų investicijų skyrius</t>
  </si>
  <si>
    <t>Atlikta darbų</t>
  </si>
  <si>
    <t>Įsigytas baldų ir kitas inventorius</t>
  </si>
  <si>
    <t>07-02-02</t>
  </si>
  <si>
    <t>Pastatyti irklavimo sporto bazę (Žvyro g. 34)</t>
  </si>
  <si>
    <t>Statybos ir renovacijos skyrius; Sporto skyrius</t>
  </si>
  <si>
    <t>Atlikta II etapo statybos darbų</t>
  </si>
  <si>
    <t>07-02-03</t>
  </si>
  <si>
    <t>Suprojektuoti ir pastatyti buriavimo elingą prie Rėkyvos ežero (Poilsio g. 10A)</t>
  </si>
  <si>
    <t>Architektūros skyrius; Statybos ir renovacijos skyrius; Sporto skyrius</t>
  </si>
  <si>
    <t>07-02-04</t>
  </si>
  <si>
    <t>Suremontuoti Šiaulių m. stadioną ir pastatų patalpas (S. Daukanto g. 23)</t>
  </si>
  <si>
    <t>Parengtas administracinio pastato remonto darbų techninis projektas</t>
  </si>
  <si>
    <t>07-02-05</t>
  </si>
  <si>
    <t>Didinti Šiaulių teniso akademijos pastato funkcionalumą</t>
  </si>
  <si>
    <t>Sporto skyrius; Šiaulių teniso akademija</t>
  </si>
  <si>
    <t>Parengtas statybos projektas</t>
  </si>
  <si>
    <t>07-02-06</t>
  </si>
  <si>
    <t>Modernizuoti/pastatyti sporto įstaigų pastatus, statinius, bazes</t>
  </si>
  <si>
    <t>Atlikta Šiaulių m. stadiono komplekso (S. Daukanto g. 23) renovacijos darbų</t>
  </si>
  <si>
    <t>Atlikta apšvietimo sistemos modernizavimo darbų</t>
  </si>
  <si>
    <t>Parengtas VŠĮ Šiaulių krepšinio akademijos „Saulė“ pastato statybos projektas</t>
  </si>
  <si>
    <t>07-02-07</t>
  </si>
  <si>
    <t>Atlikti Šiaulių regbio ir žolės riedulio akademijos aikštyno rekonstrukciją</t>
  </si>
  <si>
    <t>Parengtas žolės riedulio aikštyno renovacijos techninis projektas</t>
  </si>
  <si>
    <t>Atlikta Šiaulių regbio ir žolės riedulio akademijos aikštyno (Pumpučių g. 19) renovacijos darbų</t>
  </si>
  <si>
    <t>08</t>
  </si>
  <si>
    <t>Švietimo programa</t>
  </si>
  <si>
    <t>Švietimo skyrius</t>
  </si>
  <si>
    <t>08-01</t>
  </si>
  <si>
    <t>Plėtoti inovatyvią švietimo sistemą, ugdančią aktyvią ir kūrybingą asmenybę</t>
  </si>
  <si>
    <t>Išlaikiusių brandos egzaminus dalis, nuo laikiusių</t>
  </si>
  <si>
    <t>Įstojusių į aukštąsias mokyklas dalis (asmenys, baigę bendrojo ugdymo mokyklas Šiauliuose) nuo visų, gavusių vidurinį išsilavinimą</t>
  </si>
  <si>
    <t>Pagalbos mokiniui specialistų, tenkančių 100 mokinių, skaičius</t>
  </si>
  <si>
    <t>08-01-01</t>
  </si>
  <si>
    <t>Atstovauti miestui, pristatyti švietimo veiklą, organizuoti renginius</t>
  </si>
  <si>
    <t>Švietimo skyrius; Šiaulių švietimo kompetencijų centras</t>
  </si>
  <si>
    <t>Suorganizuotų reprezentacinių renginių skaičius</t>
  </si>
  <si>
    <t>Apdovanotų olimpiadų nugalėtojų skaičius</t>
  </si>
  <si>
    <t>Įteiktų premijų ,,Metų mokytojas“ skaičius</t>
  </si>
  <si>
    <t>Vieną ir daugiau 100 balų įvertinimą gavusių abiturientų skaičius</t>
  </si>
  <si>
    <t>Švietimo lyderystės programų dalyvių skaičius</t>
  </si>
  <si>
    <t>Pirmoko krepšelį gavusių mokinių skaičius</t>
  </si>
  <si>
    <t>Šiaulių miestą atstovavusių asmenų, nuvežtų į respublikinius renginius, skaičius</t>
  </si>
  <si>
    <t>08-01-02</t>
  </si>
  <si>
    <t>Užtikrinti skaitmeninę plėtrą bendrojo ugdymo mokyklose</t>
  </si>
  <si>
    <t>Sukurtos skaitmeninės mokymosi aplinkos, naudojamos skaitmeninės mokymo priemonės mokyklose, skaičius</t>
  </si>
  <si>
    <t>08-01-03</t>
  </si>
  <si>
    <t>Užtikrinti švietimo elektroninės apskaitos ir registracijos sistemų funkcionavimą</t>
  </si>
  <si>
    <t>Veikianti priėmimo į bendrojo ugdymo mokyklas sistema</t>
  </si>
  <si>
    <t>Veikianti priėmimo į ikimokyklinio ugdymo įstaigas sistema</t>
  </si>
  <si>
    <t>Veikianti SKU modelio apskaitos sistema</t>
  </si>
  <si>
    <t>Veikianti elektroninio mokinio pažymėjimo sistema</t>
  </si>
  <si>
    <t>Vykdoma valgiaraščių diegimo priežiūra ikimokyklinio ugdymo įstaigose</t>
  </si>
  <si>
    <t>08-01-04</t>
  </si>
  <si>
    <t>Didinti STEAM mokslų (mokomųjų dalykų) patrauklumą</t>
  </si>
  <si>
    <t>Mokinių, dalyvaujančių Šiaulių techninės kūrybos centro veiklose, dalis nuo visų mokinių</t>
  </si>
  <si>
    <t>STEAM centrų ikimokyklinio ugdymo įstaigose skaičius</t>
  </si>
  <si>
    <t>Vaikų, dalyvavusių „STEAM DARŽELIS“ centrų veiklose, dalis nuo visų ikimokyklinio amžiaus vaikų</t>
  </si>
  <si>
    <t>STEAM laboratorijų bendrojo ugdymo mokyklose skaičius</t>
  </si>
  <si>
    <t>STEAM ir STEAM JUNIOR programos grupių skaičius</t>
  </si>
  <si>
    <t>STEAM+ programų</t>
  </si>
  <si>
    <t>08-01-05</t>
  </si>
  <si>
    <t>Bendradarbiauti su aukštosiomis, profesinėmis ir bendrojo ugdymo mokyklomis, socialiniais-ekonominiais partneriais, ruošiant specialistus</t>
  </si>
  <si>
    <t>Inžinerijos ir informatikos mokslų krypties studijų Šiaulių mieste parama kviestiniams dėstytojams, skatinamųjų stipendijų skaičius</t>
  </si>
  <si>
    <t>Pritaikytų erdvių integruotam gamtos mokslų ugdymui ir Šiaulių miesto bendruomenės švietimui programų skaičius</t>
  </si>
  <si>
    <t>Viešųjų ryšių akcijos priemonių skaičius</t>
  </si>
  <si>
    <t>Studentų, kuriems skirta studijų parama, skaičius</t>
  </si>
  <si>
    <t>Ankstyvojo profesinio informavimo programoje „OPA" dalyvavusių skaičius (pradinių klasių mokiniams)</t>
  </si>
  <si>
    <t>Technologijų pamokų programoje ŠTMC dalyvavusių skaičius</t>
  </si>
  <si>
    <t>Įgyvendintų aukštųjų mokyklų bendradarbiavimo programų skaičius</t>
  </si>
  <si>
    <t>08-01-06</t>
  </si>
  <si>
    <t>Tobulinti neformaliojo suaugusiųjų švietimo paslaugų sistemą</t>
  </si>
  <si>
    <t>Įgyvendinamų programų skaičius</t>
  </si>
  <si>
    <t>Asmenų, dalyvavusių Šiaulių miesto savivaldybės neformaliojo suaugusiųjų švietimo modelio įgyvendinime, skaičius</t>
  </si>
  <si>
    <t>08-01-08</t>
  </si>
  <si>
    <t>Užtikrinti įtraukiojo ugdymo principinių nuostatų įgyvendinimą ir pasiekimų gerinimą  visuose švietimo sistemos lygiuose</t>
  </si>
  <si>
    <t>Specialiųjų ugdymosi poreikių turinčių mokinių, kuriems teikiama švietimo pagalba, dalis nuo visų specialiųjų ugdymosi poreikių turinčių mokinių</t>
  </si>
  <si>
    <t>Specialiųjų ugdymo (-si) poreikių turinčių vaikų, dalyvaujančių neformaliajame vaikų švietime, dalis nuo visų vaikų</t>
  </si>
  <si>
    <t>Specialiųjų ugdymosi poreikių turinčių mokinių, ugdomų įtraukiuoju būdu bendros paskirties švietimo įstaigose, dalis nuo visų mokinių</t>
  </si>
  <si>
    <t>Mokyklų, įgyvendinančių ,,Menas+" programą, skaičius</t>
  </si>
  <si>
    <t>Mokyklų, kurių mokiniai dalyvauja praktinėse veiklose TŪM mokyklų laboratorijose, skaičius</t>
  </si>
  <si>
    <t>08-01-09</t>
  </si>
  <si>
    <t>Įgyvendinti inovatyvius sprendimus, priemones švietimo įstaigose</t>
  </si>
  <si>
    <t>Ikimokyklinio ugdymo įstaigų, dalyvaujančių „Mąstymo mokyklų“ tinklo veiklose, skaičius</t>
  </si>
  <si>
    <t>Ikimokyklinio ugdymo įstaigų, dalyvaujančių „Darnus darželis“ tinklo veiklose, skaičius</t>
  </si>
  <si>
    <t>08-01-11</t>
  </si>
  <si>
    <t>Įgyvendinti projektą „Ankstyvojo ugdymo užtikrinimas vaikams iš socialinę riziką patiriančių šeimų“</t>
  </si>
  <si>
    <t>Socialinių paslaugų skyrius; Švietimo skyrius; Viešųjų investicijų skyrius</t>
  </si>
  <si>
    <t>Į ikimokyklinį ugdymą įtrauktų vaikų iš socialinę riziką patiriančių šeimų</t>
  </si>
  <si>
    <t>08-01-12</t>
  </si>
  <si>
    <t>Įgyvendinti projektą „Švietimo įstaigų vadovų mentorių rengimas“</t>
  </si>
  <si>
    <t>Švietimo įstaigų, konsorciumo narių</t>
  </si>
  <si>
    <t>08-01-13</t>
  </si>
  <si>
    <t>Įgyvendinti pedagogų pritraukimo į Šiaulių miesto švietimo įstaigas, perkvalifikavimo ir kvalifikacijos tobulinimo programą</t>
  </si>
  <si>
    <t>Šiaulių miesto savivaldybės „Pedagogų pritraukimo, perkvalifikavimo ir kvalifikacijos tobulinimo strategijos plano priemonėse” dalyvaujančių asmenų skaičius</t>
  </si>
  <si>
    <t>08-02</t>
  </si>
  <si>
    <t>Užtikrinti švietimo paslaugų prieinamumą ir kokybę, gerinant ugdymo (-si) aplinką</t>
  </si>
  <si>
    <t>Ikimokyklinio ugdymo įstaigų pastatų, kurie yra geros būklės, skaičius</t>
  </si>
  <si>
    <t>Ikimokyklinio ugdymo įstaigų pastatų skaičius</t>
  </si>
  <si>
    <t>Bendrojo ugdymo mokyklų pastatų, kurie yra geros būklės, skaičius</t>
  </si>
  <si>
    <t>Bendrojo ugdymo mokyklų pastatų skaičius</t>
  </si>
  <si>
    <t>Neformaliojo švietimo įstaigų pastatų, kurie yra geros būklės, skaičius</t>
  </si>
  <si>
    <t>Neformaliojo švietimo įstaigų pastatų skaičius</t>
  </si>
  <si>
    <t>08-02-01</t>
  </si>
  <si>
    <t>Atnaujinti švietimo įstaigų pastatus, patalpas, įrangą ir komunikacijas</t>
  </si>
  <si>
    <t>Statybos ir renovacijos skyrius; Švietimo skyrius</t>
  </si>
  <si>
    <t>Švietimo įstaigų, atnaujinusių  virtuves ir įrangą, preliminarus skaičius, iš jų: 2026 m. l/d „Ąžuoliukas" 2027 m. V. Kudirkos prog, 2028 m. Ragainės prog.</t>
  </si>
  <si>
    <t>Švietimo Įstaigų atnaujintų pastatų skaičius, iš jų: 2026 m. l/d „Vaikystė", 2026-2027 m. „Rasos", 2027 m. Medelyno progimnazijų ikimokyklinio ugd. sk., 2028 m. l/d „Berželis", „Rasos" progimnazijos, „Ringuvos" m.</t>
  </si>
  <si>
    <t>Įstaigų, kuriose atliktas vamzdynų ir patalpų remontas, įsigyta įranga, skaičius, iš jų: 2026 m. - Centro pradinė m., l/d „Berželis", „Eglutė", „Gluosnis", „Ąžuoliukas", 2027 m.  l/d „Berželis" (tęstinis), „Gintarėlis", 2028 m. l/d „Bitė",</t>
  </si>
  <si>
    <t>Įstaigų, kuriose atliktas elektros instaliacijos remontas, skaičius, iš jų:  2026 m. - Lieporių gimnazija, l/d „Berželis", Menų mokykla, 2027 m. - l/d  „Eglutė",  „Berželis" (tęstinis), 2028 m. J. Janonio gimnazija</t>
  </si>
  <si>
    <t>Įstaigų, kuriose atnaujinti arba suremontuoti stogai, skaičius, iš jų: 2026 m. - J. Janonio gimnazija, 2027 m. l/d „Berželis", 2028 m. „Rasos" progimnazija</t>
  </si>
  <si>
    <t>08-02-02</t>
  </si>
  <si>
    <t>Atnaujinti švietimo įstaigų lauko teritorijas ir įrenginius</t>
  </si>
  <si>
    <t>Miesto ūkio ir aplinkos skyrius; Švietimo skyrius</t>
  </si>
  <si>
    <t>Švietimo įstaigų, kuriose atnaujintos teritorijų dangos ir įvažiavimai, skaičius pagal 2024 m. kovo 27 d. Administracijos direktoriaus įsakymu Nr. A-150  sudarytą eilę. 2026 m. Salduvės, Dainų, „Romuvos" progimnazijos, Lieporių, Didždvario gimnazijos</t>
  </si>
  <si>
    <t>Ikimokyklinio ugdymo įstaigų, kuriose atnaujinta lauko infrastruktūra, įkurtos lauko edukacinės erdvės, žaidimų aikštelės, skaičius</t>
  </si>
  <si>
    <t>Švietimo įstaigų, kuriose atnaujinti lauko įrenginiai ir aptvertos teritorijos, skaičius</t>
  </si>
  <si>
    <t>Švietimo įstaigų, kuriose atnaujintas lauko apšvietimas, skaičius, iš jų: 2027 m. - Ragainės, V. Kudirkos progimnazijos, 2028 m. - Pabalių l/d</t>
  </si>
  <si>
    <t>08-02-03</t>
  </si>
  <si>
    <t>Atnaujinti švietimo įstaigų sporto infrastruktūrą</t>
  </si>
  <si>
    <t>Atliktų St. Šalkauskio gimnazijos sporto aikštyno atnaujinimo rangos darbų dalis</t>
  </si>
  <si>
    <t>Suremontuotų  sporto salių, (pagalbinių patalpų, įrangos), sporto aikštelių švietimo įstaigose skaičius, iš jų: 2026 m. - Lieporių, Gegužių prog.</t>
  </si>
  <si>
    <t>Įrengta Sporto gimnazijos sporto aikštelė</t>
  </si>
  <si>
    <t>08-02-04</t>
  </si>
  <si>
    <t>Modernizuoti švietimo įstaigų pastatus / statinius</t>
  </si>
  <si>
    <t>Įrengti liftai ir kitas pritaikymas neįgaliesiems švietimo įstaigose (l/d "Gluosnis, "Pasaka", "Voveraitė", P. Avižonio ugdymo centras, St. Šalkauskio, Lieporių gimn., Dainų, Zoknių prog. ir kt.)</t>
  </si>
  <si>
    <t>Įdiegta kondicionavimo įranga švietimo įstaigose (Lieporių gimn., Gegužių ,  Rėkyvos prog.)</t>
  </si>
  <si>
    <t>Bendrojo ugdymo įstaigos, kurių patalpoms taikoma „saugios mokyklos"  aplinka („Juventos", Salduvės, „Rasos", Zoknių, Gegužių, Gytarių, Medelyno, "Sandoros, "Romuvos" progimnazijos )</t>
  </si>
  <si>
    <t>08-02-05</t>
  </si>
  <si>
    <t>Užtikrinti švietimo įstaigų pastatų ir vidaus patalpų avarinių situacijų šalinimą</t>
  </si>
  <si>
    <t>Pašalintos vidaus ir išorės pastatų, lauko aplinkos avarinės situacijos švietimo įstaigose</t>
  </si>
  <si>
    <t>08-02-06</t>
  </si>
  <si>
    <t>Įgyvendinti projektą „Šiaulių Sporto gimnazijos (Vilniaus g. 297) modernizavimas“</t>
  </si>
  <si>
    <t>Statybos ir renovacijos skyrius; Švietimo skyrius; Viešųjų investicijų skyrius</t>
  </si>
  <si>
    <t>Atliktų Sporto gimnazijos bendrabučio remonto darbų dalis</t>
  </si>
  <si>
    <t>Atliktų stogo dangos keitimo rangos darbų dalis</t>
  </si>
  <si>
    <t>08-02-09</t>
  </si>
  <si>
    <t>Įgyvendinti projektą „Šiaulių jaunųjų gamtininkų centro jojimo skyriaus modernizavimas, sukuriant tinkamas sąlygas visuomenės sveikatos stiprinimo, neformaliojo švietimo viešųjų paslaugų teikimui, gyventojų poilsio organizavimui“</t>
  </si>
  <si>
    <t>Statybos ir renovacijos skyrius; Švietimo skyrius; Šiaulių jaunųjų gamtininkų centras; Viešųjų investicijų skyrius</t>
  </si>
  <si>
    <t>Įsigyta baldų ir kito inventoriaus</t>
  </si>
  <si>
    <t>08-02-10</t>
  </si>
  <si>
    <t>Įgyvendinti projektą „Edukacinių erdvių įrengimas Šiaulių miesto ugdymo įstaigose, plėtojant visos dienos mokyklos veiklas“</t>
  </si>
  <si>
    <t>Mokinių, dalyvaujančių visos dienos mokyklos veiklose, dalis nuo visų pradinių klasių mokinių</t>
  </si>
  <si>
    <t>Įsigytos įrangos ir baldų skaičius</t>
  </si>
  <si>
    <t>Įrengtų edukacinių erdvių</t>
  </si>
  <si>
    <t>08-02-11</t>
  </si>
  <si>
    <t>Įgyvendinti projektą „Ikimokyklinio ugdymo paslaugų prieinamumo didinimas Šiaulių miesto savivaldybėje“</t>
  </si>
  <si>
    <t>Sukurtų naujų ikimokyklinio ugdymo vietų skaičius</t>
  </si>
  <si>
    <t>08-02-12</t>
  </si>
  <si>
    <t>Įgyvendinti bendrojo ugdymo mokyklų projektą ,,Tūkstantmečio mokyklos I“</t>
  </si>
  <si>
    <t>Statybos ir renovacijos skyrius; Švietimo skyrius; Šiaulių S. Šalkauskio gimnazija; Šiaulių Salduvės progimnazija; Šiaulių Ragainės progimnazija; Šiaulių Gytarių progimnazija; Šiaulių universitetinė gimnazija; Viešųjų investicijų skyrius</t>
  </si>
  <si>
    <t>Atnaujinta infrastruktūra (atlikti rangos darbai) Šiaulių universitetinėje ir S. Šalkauskio gimnazijoje</t>
  </si>
  <si>
    <t>Įsigyti baldai, įranga ir mokymo priemonės Šiaulių universitetinėje ir S. Šalkauskio gimnazijose</t>
  </si>
  <si>
    <t>08-02-13</t>
  </si>
  <si>
    <t>Įgyvendinti projektą „S. Daukanto inžinerijos gimnazijos  infrastruktūros modernizavimas, pritaikant specializuotų inžinerinio ugdymo programų vykdymui“</t>
  </si>
  <si>
    <t>08-02-14</t>
  </si>
  <si>
    <t>Įgyvendinti projektą „Bendrojo ugdymo paslaugų kokybės gerinimas ir prieinamumo didinimas Šiaulių mieste, modernizuojant Vinco Kudirkos progimnaziją“</t>
  </si>
  <si>
    <t>08-02-15</t>
  </si>
  <si>
    <t>Įgyvendinti projektą „Bendrojo ugdymo paslaugų kokybės gerinimas ir prieinamumo didinimas Šiaulių mieste, modernizuojant Šiaulių Ragainės progimnaziją“</t>
  </si>
  <si>
    <t>08-02-16</t>
  </si>
  <si>
    <t>Įgyvendinti projektą „Šiaulių miesto ,,Romuvos“, Dainų ir Salduvės progimnazijų bei Didždvario ir Lieporių gimnazijų lauko infrastruktūros atnaujinimas, pritaikymas ugdymo poreikiams ir funkcionalumo didinimas“</t>
  </si>
  <si>
    <t>08-02-17</t>
  </si>
  <si>
    <t>Įgyvendinti projektą „Didždvario gimnazijos pastato remontas“</t>
  </si>
  <si>
    <t>Atlikta vidaus patalpų remonto darbų</t>
  </si>
  <si>
    <t>08-02-20</t>
  </si>
  <si>
    <t>Įgyvendinti projektą  „Šiaulių Jovaro progimnazijos pastato, esančio Vytauto g. 132, Šiauliuose, modernizavimas (Energetinio efektyvumo didinimas)“</t>
  </si>
  <si>
    <t>Statybos ir renovacijos skyrius; Statybos ir renovacijos skyrius; Švietimo skyrius; Švietimo skyrius; Viešųjų investicijų skyrius; Viešųjų investicijų skyrius</t>
  </si>
  <si>
    <t>Atlikta rangos darbų</t>
  </si>
  <si>
    <t>08-02-21</t>
  </si>
  <si>
    <t>Įgyvendinti projektą  „Šiaulių Saulės pradinės mokyklos pastato, esančio Dainų g. 15, Šiauliuose, modernizavimas (Energetinio efektyvumo didinimas)“</t>
  </si>
  <si>
    <t>08-03</t>
  </si>
  <si>
    <t>Sudaryti sąlygas jaunimo savirealizacijai jų poreikiams pritaikytoje aplinkoje</t>
  </si>
  <si>
    <t>Nepilnamečių, įtariamų padarius nusikalstamas veikas, skaičius, tenkantis 100 tūkst. 1417 metų amžiaus vaikų</t>
  </si>
  <si>
    <t>Mokinių vasaros užimtumas nuo bendro mokinių skaičiaus</t>
  </si>
  <si>
    <t>Jaunimo organizacijose dalyvaujančių asmenų skaičius</t>
  </si>
  <si>
    <t>08-03-01</t>
  </si>
  <si>
    <t>Įgyvendinti vaikų ir jaunimo vasaros užimtumo programas</t>
  </si>
  <si>
    <t>Suorganizuotų vaikų ir jaunimo poilsio stovyklų dalyvių skaičius</t>
  </si>
  <si>
    <t>08-03-02</t>
  </si>
  <si>
    <t>Organizuoti kokybišką jaunimo užimtumą ir laisvalaikio praleidimą</t>
  </si>
  <si>
    <t>Sukurta aplikacija, programėlė, siekiant padidinti jaunimo užimtumo galimybių viešinimą</t>
  </si>
  <si>
    <t>08-03-03</t>
  </si>
  <si>
    <t>Pritaikyti erdves  jaunimo poreikiams ir veiklai</t>
  </si>
  <si>
    <t>Įvykdytų atviro jaunimo centro infrastruktūros atnaujinimo planuotų darbų</t>
  </si>
  <si>
    <t>08-03-04</t>
  </si>
  <si>
    <t>Finansuota projektų skaičius</t>
  </si>
  <si>
    <t>Dalyvių skaičius</t>
  </si>
  <si>
    <t>Jaunimo, dalyvaujančio projektinėje veikloje, dalis nuo bendro jaunimo skaičiaus</t>
  </si>
  <si>
    <t>08-04</t>
  </si>
  <si>
    <t>Sudaryti sąlygas kokybiškam ugdymo procesui</t>
  </si>
  <si>
    <t>Vaikų, dalyvaujančių ikimokykliniame ugdyme 3-5 metų, dalis nuo vaikų (3-5 m.)</t>
  </si>
  <si>
    <t>Mokyklinio amžiaus vaikų, nesimokančių mokyklose skaičius, tenkantis 1000 gyv.</t>
  </si>
  <si>
    <t>Neformaliojo švietimo veiklose dalyvaujančių mokinių dalis Šiaulių miesto savivaldybės mokyklose nuo visų mokinių</t>
  </si>
  <si>
    <t>08-04-01</t>
  </si>
  <si>
    <t>Užtikrinti švietimo įstaigų veiklą (ML 98% + SB)</t>
  </si>
  <si>
    <t>Bendrojo ugdymo mokyklų skaičius</t>
  </si>
  <si>
    <t>Miesto bendrojo ugdymo mokyklose mokinių skaičius</t>
  </si>
  <si>
    <t>Veikiantis švietimo kompetencijų centras</t>
  </si>
  <si>
    <t>Tarnyba, teikianti pedagoginę psichologinę pagalbą vaikams ir mokiniams</t>
  </si>
  <si>
    <t>Mokinių, dalyvaujančių ,,Kultūros krepšelio“ edukaciniuose užsiėmimuose Šiaulių regiono muziejuose ir kitose kultūros įstaigose skaičius</t>
  </si>
  <si>
    <t>Įdiegtų akredituotų tarptautinio bakalaureato pradinio (1-4 kl.) ir pagrindinio (5-8 kl.) ugdymo programų, skaičius</t>
  </si>
  <si>
    <t>1.03.</t>
  </si>
  <si>
    <t>08-04-02</t>
  </si>
  <si>
    <t>Tenkinti mokymo reikmes (ML  2% )</t>
  </si>
  <si>
    <t>Ikimokyklinio ir bendrojo ugdymo mokyklų, kuriose tenkinamos ugdymo reikmės, skaičius</t>
  </si>
  <si>
    <t>Mokyklų, įdiegusių socialinių kompetencijų ugdymo modelį, skaičius</t>
  </si>
  <si>
    <t>08-04-03</t>
  </si>
  <si>
    <t>Organizuoti mokinių vežimą</t>
  </si>
  <si>
    <t>Mokinių, kuriems kompensuojamas važiavimas į mokyklą, skaičius</t>
  </si>
  <si>
    <t>08-04-04</t>
  </si>
  <si>
    <t>Užtikrinti viešųjų įstaigų, įgyvendinančių bendrąsias ir specialiąsias ugdymo programas bei nevalstybinių tradicinių religinių bendruomenių ir bendrijų mokyklų veiklą (ML 98 % + SB)</t>
  </si>
  <si>
    <t>VšĮ ugdymo įstaigų skaičius</t>
  </si>
  <si>
    <t>Finansuota nevalstybinių tradicinių religinių bendruomenių ir bendrijų mokyklų skaičius</t>
  </si>
  <si>
    <t>08-04-05</t>
  </si>
  <si>
    <t>Užtikrinti neformaliojo vaikų švietimo įstaigų veiklą</t>
  </si>
  <si>
    <t>Sporto skyrius; Švietimo skyrius</t>
  </si>
  <si>
    <t>Neformaliojo vaikų švietimo mokyklų skaičius</t>
  </si>
  <si>
    <t>Vaikų, lankančių neformaliojo vaikų švietimo mokyklas, skaičius</t>
  </si>
  <si>
    <t>FŠPU dalyvaujančių 1-12 klasių mokinių skaičius</t>
  </si>
  <si>
    <t>Neformaliojo švietimo mokyklų, kuriose atliktas išorės vertinimas, skaičius</t>
  </si>
  <si>
    <t>Formalųjį švietimą papildančių ugdymo programų skaičius</t>
  </si>
  <si>
    <t>Veiklų, didinančių neformaliojo vaikų švietimo patrauklumą mokinių ir tėvų bendruomenėje, skaičius</t>
  </si>
  <si>
    <t>08-04-06</t>
  </si>
  <si>
    <t>Užtikrinti neformaliojo vaikų švietimo teikėjų programų vykdymą</t>
  </si>
  <si>
    <t>Neformaliojo vaikų švietimo programų skaičius</t>
  </si>
  <si>
    <t>Neformaliojo vaikų švietimo teikėjų skaičius</t>
  </si>
  <si>
    <t>Nevalstybinių švietimo įstaigų ir laisvųjų mokytojų įgyvendinamų neformaliojo vaikų švietimo programas lankančių vaikų skaičius</t>
  </si>
  <si>
    <t>08-04-07</t>
  </si>
  <si>
    <t>Kompensuoti tėvų atlyginimą už neformalųjį vaikų švietimą savivaldybės įstaigose</t>
  </si>
  <si>
    <t>Atlyginimo lengvatą už neformalųjį vaikų švietimą  gaunančių vaikų skaičius</t>
  </si>
  <si>
    <t>08-04-08</t>
  </si>
  <si>
    <t>Užtikrinti ikimokyklinio ir priešmokyklinio ugdymo įstaigų veiklą</t>
  </si>
  <si>
    <t>Ikimokyklinio ugdymo įstaigų skaičius</t>
  </si>
  <si>
    <t>Pagal ikimokyklinę programą ugdomų vaikų skaičius</t>
  </si>
  <si>
    <t>Mokyklų ikimokyklinio ugdymo skyrių skaičius</t>
  </si>
  <si>
    <t>Ikimokyklinio ugdymo įstaigų, kuriose ugdoma anglų kalba, skaičius</t>
  </si>
  <si>
    <t>08-04-09</t>
  </si>
  <si>
    <t>Kompensuoti tėvų atlyginimą už vaiko išlaikymą įstaigoje</t>
  </si>
  <si>
    <t>Ikimokyklinio ugdymo įstaigose lengvatas gaunančių vaikų skaičius</t>
  </si>
  <si>
    <t>08-04-10</t>
  </si>
  <si>
    <t>Užtikrinti ikimokyklinio ugdymo programų įgyvendinimą Šiaulių miesto nevalstybinėse švietimo įstaigose</t>
  </si>
  <si>
    <t>Nevalstybines švietimo įstaigas, įgyvendinančias ikimokyklinio ugdymo programas, lankančių ugdytinių skaičius</t>
  </si>
  <si>
    <t>08-04-11</t>
  </si>
  <si>
    <t>Užtikrinti ikimokyklinio ir priešmokyklinio ugdymo programas vykdančių viešųjų įstaigų veiklą</t>
  </si>
  <si>
    <t>Viešųjų įstaigų skaičius</t>
  </si>
  <si>
    <t>08-04-12</t>
  </si>
  <si>
    <t>Užtikrinti profesinio orientavimo paslaugų teikimą Šiaulių miesto bendrojo ugdymo mokyklose</t>
  </si>
  <si>
    <t>Mokyklų, kuriose dirba karjeros specialistai, skaičius</t>
  </si>
  <si>
    <t>Karjeros specialistų mokyklose etatų skaičius</t>
  </si>
  <si>
    <t>08-04-13</t>
  </si>
  <si>
    <t>Aprūpinti Šiaulių miesto bendrojo ugdymo mokyklas mokymosi ir higieninėmis priemonėmis</t>
  </si>
  <si>
    <t>Mokyklų , kurioms skirtos lėšos mokymosi priemonėms  įsigyti, skaičius</t>
  </si>
  <si>
    <t>Mokyklų , kurioms skirtos lėšos 5-12 klasių mergaičių higienos priemonėms  įsigyti, skaičius</t>
  </si>
  <si>
    <t>08-04-14</t>
  </si>
  <si>
    <t>Įgyvendinti projektą „Ugdymo priemonės mokykloms“</t>
  </si>
  <si>
    <t>Švietimo skyrius; Viešųjų investicijų skyrius; Turto valdymo skyrius</t>
  </si>
  <si>
    <t>Įsigyta įrangos dalis</t>
  </si>
  <si>
    <t>09</t>
  </si>
  <si>
    <t>Sveikatos programa</t>
  </si>
  <si>
    <t>09-01</t>
  </si>
  <si>
    <t>Plėtoti asmens ir visuomenės sveikatos priežiūros paslaugas, ugdyti visuomenės poreikį sveikai gyventi</t>
  </si>
  <si>
    <t>Paliatyvios pagalbos, globos, slaugos ir palaikomojo gydymo lovų skaičius, tenkantis 1 tūkst. gyventojų</t>
  </si>
  <si>
    <t>Pacientų, kurie pas šeimos gydytoją patenka per 7 kalendorines dienas, dalis</t>
  </si>
  <si>
    <t>Savižudybių skaičius, tenkantis 100 tūkst. gyventojų</t>
  </si>
  <si>
    <t>09-01-01</t>
  </si>
  <si>
    <t>Užtikrinti Visuomenės sveikatos biuro veiklą</t>
  </si>
  <si>
    <t>Sveikatos skyrius; Šiaulių miesto savivaldybės visuomenės sveikatos biuras</t>
  </si>
  <si>
    <t>Privalomojo mokymo metu mokytų asmenų</t>
  </si>
  <si>
    <t>09-01-02</t>
  </si>
  <si>
    <t xml:space="preserve">Didinti visuomenės sveikatos stiprinimo paslaugų teikimo aprėptį </t>
  </si>
  <si>
    <t>Ugdymo įstaigų, kuriose vykdytos visuomenės sveikatos priežiūros funkcijos, skaičius</t>
  </si>
  <si>
    <t>Mokinių, dalyvavusių sveikatinimo veiklose ugdymo įstaigose, skaičius</t>
  </si>
  <si>
    <t>Parengta stebėsenos ataskaita su pasiūlymais dėl gyventojų sveikatos būklės gerinimo</t>
  </si>
  <si>
    <t>Miesto gyventojų, dalyvavusių sveikatinimo veiklose, skaičius</t>
  </si>
  <si>
    <t>Baseino paslaugas gavusių asmenų skaičius</t>
  </si>
  <si>
    <t>Asmenų, baigusių Širdies ir kraujagyslių ligų ir cukrinio diabeto prevencinę sveikatos stiprinimo programą, skaičius</t>
  </si>
  <si>
    <t>09-01-03</t>
  </si>
  <si>
    <t xml:space="preserve">Užtikrinti platesnį psichoemocinės pagalbos prieinamumą </t>
  </si>
  <si>
    <t>VšĮ Šiaulių centro poliklinika; VšĮ Dainų pirminės sveikatos priežiūros centras; Sveikatos skyrius; Šiaulių miesto savivaldybės visuomenės sveikatos biuras</t>
  </si>
  <si>
    <t>Asmenų, gavusių psichologinės gerovės ir psichikos sveikatos stiprinimo paslaugas, skaičius:</t>
  </si>
  <si>
    <t>Šiaulių miesto savivaldybės visuomenės sveikatos biuras</t>
  </si>
  <si>
    <t>VšĮ Šiaulių centro poliklinikos Psichikos sveikatos centras</t>
  </si>
  <si>
    <t>VšĮ Dainų pirminės sveikatos priežiūros centras</t>
  </si>
  <si>
    <t>Asmenų, dalyvavusių Socialinio recepto iniciatyvoje, skaičius</t>
  </si>
  <si>
    <t>Pravestų mokymų skaičius</t>
  </si>
  <si>
    <t>09-01-04</t>
  </si>
  <si>
    <t xml:space="preserve">Užtikrinti paramos priemonių tuberkulioze sergantiems asmenims įgyvendinimą </t>
  </si>
  <si>
    <t>Tuberkulioze sergančių pacientų, kuriems buvo suteiktos socialinės paramos priemonės tuberkuliozės ambulatorinio gydymo metu, skaičius</t>
  </si>
  <si>
    <t>09-01-05</t>
  </si>
  <si>
    <t>Užtikrinti priklausomybės ligų profilaktikos, diagnostikos ir gydymo kokybės ir prieinamumo gerinimą</t>
  </si>
  <si>
    <t>Sveikatos skyrius; VšĮ Šiaulių centro poliklinika</t>
  </si>
  <si>
    <t>Apsilankymų žemo slenksčio paslaugų kabinetuose skaičius</t>
  </si>
  <si>
    <t>09-01-06</t>
  </si>
  <si>
    <t xml:space="preserve">Didinti sveikatos specialistų teikiamų paslaugų prieinamumą </t>
  </si>
  <si>
    <t>Pritrauktų reikiamos kvalifikacijos sveikatos srities specialistų skaičius</t>
  </si>
  <si>
    <t>Finansuotų sveikatos mokslų studentų skaičius</t>
  </si>
  <si>
    <t>09-01-07</t>
  </si>
  <si>
    <t>Vykdyti Visuomenės sveikatos rėmimo specialiąją programą</t>
  </si>
  <si>
    <t>Sveikatinimo iniciatyvose dalyvavusių asmenų skaičius</t>
  </si>
  <si>
    <t>Gavusių privalomojo profilaktinio aplinkos kenksmingumo pašalinimo paslaugas asmenų skaičius</t>
  </si>
  <si>
    <t>Įvykdytų ligų profilaktikos ir prevencijos priemonių skaičius</t>
  </si>
  <si>
    <t>Kompensuotų sveikatos paslaugų tikslinėms gyventojų grupėms skaičius</t>
  </si>
  <si>
    <t>Stebėtų ir prižiūrėtų maudyklų</t>
  </si>
  <si>
    <t>Projekte „Sveikas, mažyli“ dalyvavusių asmenų skaičius</t>
  </si>
  <si>
    <t>09-01-08</t>
  </si>
  <si>
    <t>Gerinti medicinos srities įvaizdį visuomenėje</t>
  </si>
  <si>
    <t>VšĮ Šiaulių centro poliklinika; VšĮ Dainų pirminės sveikatos priežiūros centras; VšĮ Šiaulių ilgalaikio gydymo ir geriatrijos centras; VšĮ Šiaulių reabilitacijos centras; Šiaulių miesto savivaldybės visuomenės sveikatos biuras; Sveikatos skyrius</t>
  </si>
  <si>
    <t>Švietimo įstaigų, dalyvavusių sveikatos srities patrauklumo didinimo projektuose, skaičius</t>
  </si>
  <si>
    <t>Daugiašalių bendradarbiavimo iniciatyvų, siekiant gerinti medicinos srities įvaizdį, skaičius</t>
  </si>
  <si>
    <t>09-02</t>
  </si>
  <si>
    <t>Užtikrinti asmens sveikatos priežiūros paslaugų prieinamumą ir kokybę, atnaujinant esamą bei įrengiant naują infrastruktūrą</t>
  </si>
  <si>
    <t>Savivaldybės sveikatos įstaigų pastatų, kurie yra geros būklės, skaičius</t>
  </si>
  <si>
    <t>Sveikatos įstaigų pastatų skaičius</t>
  </si>
  <si>
    <t>09-02-03</t>
  </si>
  <si>
    <t>Įgyvendinti projektą „VšĮ Šiaulių ilgalaikio gydymo ir geriatrijos centro pastatų rekonstravimas, aktyvios ventiliacijos įrengimas, kiemo gerbūvio sutvarkymas ir maisto gamybos skyriaus modernizavimas"</t>
  </si>
  <si>
    <t>VšĮ Šiaulių ilgalaikio gydymo ir geriatrijos centras; Sveikatos skyrius</t>
  </si>
  <si>
    <t>Atlikta naujojo korpuso dalies rekuperavimo ir kondicionavimo sistemos įrengimo darbų dalis</t>
  </si>
  <si>
    <t>Atlikta fasado šiltinimo ir atnaujinimo darbų dalis</t>
  </si>
  <si>
    <t>Atlikta gerbūvio, cokolio šiltinimo darbų dalis</t>
  </si>
  <si>
    <t>Parengtas techninis darbo projektas</t>
  </si>
  <si>
    <t>Atlikta teritorijos sutvarkymo darbų dalis</t>
  </si>
  <si>
    <t>09-02-04</t>
  </si>
  <si>
    <t>Modernizuoti VšĮ Šiaulių centro polikliniką</t>
  </si>
  <si>
    <t>Parengtas pastato Vytauto g. 101 šiltinimo ir atnaujinimo darbų statybos projektas</t>
  </si>
  <si>
    <t>Atlikta pastato Vytauto g. 101 šiltinimo ir atnaujinimo darbų dalis</t>
  </si>
  <si>
    <t>09-02-05</t>
  </si>
  <si>
    <t>Didinti VšĮ Dainų pirminės sveikatos priežiūros centro funkcionalumą</t>
  </si>
  <si>
    <t>Sveikatos skyrius; VšĮ Dainų pirminės sveikatos priežiūros centras</t>
  </si>
  <si>
    <t>Modernizuota pastato Aido g. 16 A dalis</t>
  </si>
  <si>
    <t>Atlikta rangos darbų dalis</t>
  </si>
  <si>
    <t>Sutvarkytos viešo naudojimo šaligatvių dangos plotas</t>
  </si>
  <si>
    <t>Sutvarkytas aplinkos aptvarų plotas</t>
  </si>
  <si>
    <t>09-02-06</t>
  </si>
  <si>
    <t>Įgyvendinti projektą „Sveikatos centrų sudėtyje teikiamų sveikatos priežiūros paslaugų infrastruktūros modernizavimas Šiaulių miesto savivaldybėje“</t>
  </si>
  <si>
    <t>Sveikatos skyrius; Viešųjų investicijų skyrius</t>
  </si>
  <si>
    <t>Įsigytos įrangos ir baldų dalis</t>
  </si>
  <si>
    <t>Įsigytų automobilių skaičius</t>
  </si>
  <si>
    <t>09-02-07</t>
  </si>
  <si>
    <t>Įgyvendinti projektą „Ilgalaikės priežiūros dienos centrų įrengimas, mobilių komandų aprūpinimas įranga ir transporto priemonėmis“</t>
  </si>
  <si>
    <t>Įkurtų specializuotų dienos priežiūros centrų skaičius</t>
  </si>
  <si>
    <t>Modernizuoto ilgalaikės priežiūros dienos centro talpumas dienai</t>
  </si>
  <si>
    <t>09-02-08</t>
  </si>
  <si>
    <t>Įgyvendinti projektą „Sveikatos specialistų rengimas, pritraukimas Šiaulių miesto savivaldybėje"</t>
  </si>
  <si>
    <t>Pritraukti specialistai</t>
  </si>
  <si>
    <t>09-02-09</t>
  </si>
  <si>
    <t>Įgyvendinti projektą „Sveikatos centrų veiklos modelio diegimas Šiaulių miesto savivaldybėje"</t>
  </si>
  <si>
    <t>Įsigytos prietaisų ir programėlių, skirtų pacientų sveikatos būklei ambulatoriškai ir nuotoliniu būdu stebėti ir vertinti, dalis</t>
  </si>
  <si>
    <t>Parengtas sveikatos centro veiklos koordinavimo procesus reglamentuojantis dokumentas</t>
  </si>
  <si>
    <t>Specialistai, dalyvavę kvalifikacijos tobulinimo ar perkvalifikavimo veiklose</t>
  </si>
  <si>
    <t>Asmenys, dalyvavę veiklose, skirtose lėtinei ligai savarankiškai valdyti</t>
  </si>
  <si>
    <t>1.</t>
  </si>
  <si>
    <t>SAVIVALDYBĖS BIUDŽETAS IŠ VISO, IŠ JO:</t>
  </si>
  <si>
    <t>Savivaldybės biudžeto lėšos (SB)</t>
  </si>
  <si>
    <t>Skolintos lėšos (PS)</t>
  </si>
  <si>
    <t>Lėšos ugdymo reikmėms VB (UR)</t>
  </si>
  <si>
    <t>Lėšos valstybinėms funkcijoms VB (VF)</t>
  </si>
  <si>
    <t>Valstybės biudžeto lėšos (VB)</t>
  </si>
  <si>
    <t>Kelių priežiūros ir plėtros programos lėšos VB (KPPP)</t>
  </si>
  <si>
    <t>Europos Sąjungos lėšos (ES)</t>
  </si>
  <si>
    <t>Įstaigos pajamų lėšos (PL)</t>
  </si>
  <si>
    <t>Lėšų likutis ataskaitinio laikotarpio pabaigoje (LIK)</t>
  </si>
  <si>
    <t>Aplinkos apsaugos rėmimo specialiosios programos lėšos SB (AA)</t>
  </si>
  <si>
    <t>2.</t>
  </si>
  <si>
    <t>KITOS LĖŠOS IŠ VISO, IŠ JŲ:</t>
  </si>
  <si>
    <t>Valstybės biudžeto lėšos KT (VB)</t>
  </si>
  <si>
    <t>Europos Sąjungos lėšos KT (ES)</t>
  </si>
  <si>
    <t>Kitų šaltinių lėšos KT (KL)</t>
  </si>
  <si>
    <t>Eur</t>
  </si>
  <si>
    <t>IŠ VISO programoms finansuoti pagal finansavimo šaltinius:</t>
  </si>
  <si>
    <t>tūkst. Eur</t>
  </si>
  <si>
    <t xml:space="preserve">strateginio veiklos plano </t>
  </si>
  <si>
    <t>1 priedas</t>
  </si>
  <si>
    <t>Šiaulių miesto savivaldybės 2026-2028 metų</t>
  </si>
  <si>
    <t>ŠIAULIŲ MIESTO SAVIVALDYBĖS 2026–2028 METŲ STRATEGINIO VEIKLOS PLANO UŽDAVINIŲ, PRIEMONIŲ, PRIEMONIŲ IŠLAIDŲ IR PRODUKTO KRITERIJŲ SUVESTINĖ</t>
  </si>
  <si>
    <t>06-02-04</t>
  </si>
  <si>
    <t>Didinti socialinio būsto prieinamumą</t>
  </si>
  <si>
    <t>Naujai įsigyto socialinio būsto apimtys</t>
  </si>
  <si>
    <t>Asmenų (šeimų), laukiančių socialinio būsto, skaičius metų pabaigoje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</si>
</sst>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 x14ac:knownFonts="1">
    <font>
      <sz val="11"/>
      <color rgb="FF000000"/>
      <name val="Calibri"/>
      <family val="2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D8FAD4"/>
        <bgColor rgb="FFD8FAD4"/>
      </patternFill>
    </fill>
    <fill>
      <patternFill patternType="solid">
        <fgColor rgb="FFFAEE80"/>
        <bgColor rgb="FFFAEE80"/>
      </patternFill>
    </fill>
    <fill>
      <patternFill patternType="solid">
        <fgColor rgb="FFD8FAD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EBEBEB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Border="0"/>
  </cellStyleXfs>
  <cellXfs count="157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2" fillId="2" borderId="0" xfId="0" applyFont="1" applyFill="1"/>
    <xf numFmtId="0" fontId="2" fillId="4" borderId="7" xfId="0" applyFont="1" applyFill="1" applyBorder="1" applyAlignment="1" applyProtection="1">
      <alignment vertical="top" wrapText="1" readingOrder="1"/>
      <protection locked="0"/>
    </xf>
    <xf numFmtId="0" fontId="2" fillId="4" borderId="8" xfId="0" applyFont="1" applyFill="1" applyBorder="1" applyAlignment="1" applyProtection="1">
      <alignment vertical="top" wrapText="1" readingOrder="1"/>
      <protection locked="0"/>
    </xf>
    <xf numFmtId="0" fontId="2" fillId="3" borderId="7" xfId="0" applyFont="1" applyFill="1" applyBorder="1" applyAlignment="1" applyProtection="1">
      <alignment vertical="top" wrapText="1" readingOrder="1"/>
      <protection locked="0"/>
    </xf>
    <xf numFmtId="0" fontId="2" fillId="3" borderId="8" xfId="0" applyFont="1" applyFill="1" applyBorder="1" applyAlignment="1" applyProtection="1">
      <alignment horizontal="left" vertical="top" wrapText="1" readingOrder="1"/>
      <protection locked="0"/>
    </xf>
    <xf numFmtId="0" fontId="2" fillId="3" borderId="8" xfId="0" applyFont="1" applyFill="1" applyBorder="1" applyAlignment="1" applyProtection="1">
      <alignment horizontal="center" vertical="top" wrapText="1" readingOrder="1"/>
      <protection locked="0"/>
    </xf>
    <xf numFmtId="0" fontId="2" fillId="0" borderId="1" xfId="0" applyFont="1" applyBorder="1" applyAlignment="1" applyProtection="1">
      <alignment vertical="top" wrapText="1" readingOrder="1"/>
      <protection locked="0"/>
    </xf>
    <xf numFmtId="0" fontId="2" fillId="0" borderId="1" xfId="0" applyFont="1" applyBorder="1" applyAlignment="1" applyProtection="1">
      <alignment horizontal="left" vertical="top" wrapText="1" readingOrder="1"/>
      <protection locked="0"/>
    </xf>
    <xf numFmtId="0" fontId="2" fillId="0" borderId="1" xfId="0" applyFont="1" applyBorder="1" applyAlignment="1" applyProtection="1">
      <alignment horizontal="center" vertical="top" wrapText="1" readingOrder="1"/>
      <protection locked="0"/>
    </xf>
    <xf numFmtId="0" fontId="2" fillId="0" borderId="7" xfId="0" applyFont="1" applyBorder="1" applyAlignment="1" applyProtection="1">
      <alignment vertical="top" wrapText="1" readingOrder="1"/>
      <protection locked="0"/>
    </xf>
    <xf numFmtId="0" fontId="2" fillId="0" borderId="8" xfId="0" applyFont="1" applyBorder="1" applyAlignment="1" applyProtection="1">
      <alignment vertical="top" wrapText="1" readingOrder="1"/>
      <protection locked="0"/>
    </xf>
    <xf numFmtId="0" fontId="2" fillId="0" borderId="8" xfId="0" applyFont="1" applyBorder="1" applyAlignment="1" applyProtection="1">
      <alignment horizontal="left" vertical="top" wrapText="1" readingOrder="1"/>
      <protection locked="0"/>
    </xf>
    <xf numFmtId="0" fontId="2" fillId="0" borderId="8" xfId="0" applyFont="1" applyBorder="1" applyAlignment="1" applyProtection="1">
      <alignment horizontal="center" vertical="top" wrapText="1" readingOrder="1"/>
      <protection locked="0"/>
    </xf>
    <xf numFmtId="0" fontId="2" fillId="0" borderId="3" xfId="0" applyFont="1" applyBorder="1" applyAlignment="1" applyProtection="1">
      <alignment horizontal="left" vertical="top" wrapText="1" readingOrder="1"/>
      <protection locked="0"/>
    </xf>
    <xf numFmtId="0" fontId="2" fillId="0" borderId="3" xfId="0" applyFont="1" applyBorder="1" applyAlignment="1" applyProtection="1">
      <alignment horizontal="center" vertical="top" wrapText="1" readingOrder="1"/>
      <protection locked="0"/>
    </xf>
    <xf numFmtId="0" fontId="2" fillId="2" borderId="0" xfId="0" applyFont="1" applyFill="1" applyAlignment="1" applyProtection="1">
      <alignment vertical="top" wrapText="1" readingOrder="1"/>
      <protection locked="0"/>
    </xf>
    <xf numFmtId="0" fontId="2" fillId="2" borderId="0" xfId="0" applyFont="1" applyFill="1" applyAlignment="1" applyProtection="1">
      <alignment horizontal="left" vertical="top" wrapText="1" readingOrder="1"/>
      <protection locked="0"/>
    </xf>
    <xf numFmtId="0" fontId="2" fillId="2" borderId="0" xfId="0" applyFont="1" applyFill="1" applyAlignment="1" applyProtection="1">
      <alignment horizontal="center" vertical="top" wrapText="1" readingOrder="1"/>
      <protection locked="0"/>
    </xf>
    <xf numFmtId="0" fontId="2" fillId="0" borderId="0" xfId="0" applyFont="1" applyAlignment="1">
      <alignment wrapText="1"/>
    </xf>
    <xf numFmtId="0" fontId="2" fillId="5" borderId="1" xfId="0" applyFont="1" applyFill="1" applyBorder="1" applyAlignment="1" applyProtection="1">
      <alignment horizontal="left" vertical="top" wrapText="1" readingOrder="1"/>
      <protection locked="0"/>
    </xf>
    <xf numFmtId="0" fontId="2" fillId="5" borderId="1" xfId="0" applyFont="1" applyFill="1" applyBorder="1" applyAlignment="1" applyProtection="1">
      <alignment horizontal="center" vertical="top" wrapText="1" readingOrder="1"/>
      <protection locked="0"/>
    </xf>
    <xf numFmtId="0" fontId="1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 readingOrder="1"/>
    </xf>
    <xf numFmtId="164" fontId="2" fillId="4" borderId="8" xfId="0" applyNumberFormat="1" applyFont="1" applyFill="1" applyBorder="1" applyAlignment="1">
      <alignment horizontal="center" vertical="top" wrapText="1" readingOrder="1"/>
    </xf>
    <xf numFmtId="164" fontId="2" fillId="3" borderId="8" xfId="0" applyNumberFormat="1" applyFont="1" applyFill="1" applyBorder="1" applyAlignment="1">
      <alignment horizontal="center" vertical="top" wrapText="1" readingOrder="1"/>
    </xf>
    <xf numFmtId="164" fontId="2" fillId="5" borderId="1" xfId="0" applyNumberFormat="1" applyFont="1" applyFill="1" applyBorder="1" applyAlignment="1" applyProtection="1">
      <alignment horizontal="center" vertical="top" wrapText="1" readingOrder="1"/>
      <protection locked="0"/>
    </xf>
    <xf numFmtId="164" fontId="2" fillId="0" borderId="8" xfId="0" applyNumberFormat="1" applyFont="1" applyBorder="1" applyAlignment="1">
      <alignment horizontal="center" vertical="top" wrapText="1" readingOrder="1"/>
    </xf>
    <xf numFmtId="164" fontId="2" fillId="0" borderId="1" xfId="0" applyNumberFormat="1" applyFont="1" applyBorder="1" applyAlignment="1" applyProtection="1">
      <alignment horizontal="center" vertical="top" wrapText="1" readingOrder="1"/>
      <protection locked="0"/>
    </xf>
    <xf numFmtId="164" fontId="2" fillId="0" borderId="8" xfId="0" applyNumberFormat="1" applyFont="1" applyBorder="1" applyAlignment="1" applyProtection="1">
      <alignment horizontal="center" vertical="top" wrapText="1" readingOrder="1"/>
      <protection locked="0"/>
    </xf>
    <xf numFmtId="164" fontId="2" fillId="2" borderId="0" xfId="0" applyNumberFormat="1" applyFont="1" applyFill="1" applyAlignment="1" applyProtection="1">
      <alignment horizontal="center" vertical="top" wrapText="1" readingOrder="1"/>
      <protection locked="0"/>
    </xf>
    <xf numFmtId="0" fontId="2" fillId="0" borderId="0" xfId="0" applyFont="1" applyAlignment="1">
      <alignment horizontal="center" wrapText="1"/>
    </xf>
    <xf numFmtId="164" fontId="2" fillId="3" borderId="8" xfId="0" applyNumberFormat="1" applyFont="1" applyFill="1" applyBorder="1" applyAlignment="1" applyProtection="1">
      <alignment horizontal="center" vertical="top" wrapText="1" readingOrder="1"/>
      <protection locked="0"/>
    </xf>
    <xf numFmtId="164" fontId="2" fillId="3" borderId="9" xfId="0" applyNumberFormat="1" applyFont="1" applyFill="1" applyBorder="1" applyAlignment="1" applyProtection="1">
      <alignment horizontal="center" vertical="top" wrapText="1" readingOrder="1"/>
      <protection locked="0"/>
    </xf>
    <xf numFmtId="0" fontId="2" fillId="5" borderId="6" xfId="0" applyFont="1" applyFill="1" applyBorder="1" applyAlignment="1" applyProtection="1">
      <alignment horizontal="center" vertical="top" wrapText="1" readingOrder="1"/>
      <protection locked="0"/>
    </xf>
    <xf numFmtId="0" fontId="2" fillId="0" borderId="9" xfId="0" applyFont="1" applyBorder="1" applyAlignment="1" applyProtection="1">
      <alignment horizontal="center" vertical="top" wrapText="1" readingOrder="1"/>
      <protection locked="0"/>
    </xf>
    <xf numFmtId="0" fontId="2" fillId="0" borderId="6" xfId="0" applyFont="1" applyBorder="1" applyAlignment="1" applyProtection="1">
      <alignment horizontal="center" vertical="top" wrapText="1" readingOrder="1"/>
      <protection locked="0"/>
    </xf>
    <xf numFmtId="3" fontId="2" fillId="0" borderId="8" xfId="0" applyNumberFormat="1" applyFont="1" applyBorder="1" applyAlignment="1" applyProtection="1">
      <alignment horizontal="center" vertical="top" wrapText="1" readingOrder="1"/>
      <protection locked="0"/>
    </xf>
    <xf numFmtId="3" fontId="2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2" fillId="3" borderId="9" xfId="0" applyFont="1" applyFill="1" applyBorder="1" applyAlignment="1" applyProtection="1">
      <alignment horizontal="center" vertical="top" wrapText="1" readingOrder="1"/>
      <protection locked="0"/>
    </xf>
    <xf numFmtId="3" fontId="2" fillId="0" borderId="6" xfId="0" applyNumberFormat="1" applyFont="1" applyBorder="1" applyAlignment="1" applyProtection="1">
      <alignment horizontal="center" vertical="top" wrapText="1" readingOrder="1"/>
      <protection locked="0"/>
    </xf>
    <xf numFmtId="3" fontId="2" fillId="3" borderId="8" xfId="0" applyNumberFormat="1" applyFont="1" applyFill="1" applyBorder="1" applyAlignment="1" applyProtection="1">
      <alignment horizontal="center" vertical="top" wrapText="1" readingOrder="1"/>
      <protection locked="0"/>
    </xf>
    <xf numFmtId="3" fontId="2" fillId="3" borderId="9" xfId="0" applyNumberFormat="1" applyFont="1" applyFill="1" applyBorder="1" applyAlignment="1" applyProtection="1">
      <alignment horizontal="center" vertical="top" wrapText="1" readingOrder="1"/>
      <protection locked="0"/>
    </xf>
    <xf numFmtId="3" fontId="2" fillId="5" borderId="1" xfId="0" applyNumberFormat="1" applyFont="1" applyFill="1" applyBorder="1" applyAlignment="1" applyProtection="1">
      <alignment horizontal="center" vertical="top" wrapText="1" readingOrder="1"/>
      <protection locked="0"/>
    </xf>
    <xf numFmtId="3" fontId="2" fillId="5" borderId="6" xfId="0" applyNumberFormat="1" applyFont="1" applyFill="1" applyBorder="1" applyAlignment="1" applyProtection="1">
      <alignment horizontal="center" vertical="top" wrapText="1" readingOrder="1"/>
      <protection locked="0"/>
    </xf>
    <xf numFmtId="165" fontId="2" fillId="3" borderId="8" xfId="0" applyNumberFormat="1" applyFont="1" applyFill="1" applyBorder="1" applyAlignment="1" applyProtection="1">
      <alignment horizontal="center" vertical="top" wrapText="1" readingOrder="1"/>
      <protection locked="0"/>
    </xf>
    <xf numFmtId="165" fontId="2" fillId="3" borderId="9" xfId="0" applyNumberFormat="1" applyFont="1" applyFill="1" applyBorder="1" applyAlignment="1" applyProtection="1">
      <alignment horizontal="center" vertical="top" wrapText="1" readingOrder="1"/>
      <protection locked="0"/>
    </xf>
    <xf numFmtId="165" fontId="2" fillId="5" borderId="1" xfId="0" applyNumberFormat="1" applyFont="1" applyFill="1" applyBorder="1" applyAlignment="1" applyProtection="1">
      <alignment horizontal="center" vertical="top" wrapText="1" readingOrder="1"/>
      <protection locked="0"/>
    </xf>
    <xf numFmtId="165" fontId="2" fillId="5" borderId="6" xfId="0" applyNumberFormat="1" applyFont="1" applyFill="1" applyBorder="1" applyAlignment="1" applyProtection="1">
      <alignment horizontal="center" vertical="top" wrapText="1" readingOrder="1"/>
      <protection locked="0"/>
    </xf>
    <xf numFmtId="3" fontId="2" fillId="0" borderId="9" xfId="0" applyNumberFormat="1" applyFont="1" applyBorder="1" applyAlignment="1" applyProtection="1">
      <alignment horizontal="center" vertical="top" wrapText="1" readingOrder="1"/>
      <protection locked="0"/>
    </xf>
    <xf numFmtId="4" fontId="2" fillId="0" borderId="6" xfId="0" applyNumberFormat="1" applyFont="1" applyBorder="1" applyAlignment="1" applyProtection="1">
      <alignment horizontal="center" vertical="top" wrapText="1" readingOrder="1"/>
      <protection locked="0"/>
    </xf>
    <xf numFmtId="4" fontId="2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2" fillId="0" borderId="4" xfId="0" applyFont="1" applyBorder="1" applyAlignment="1" applyProtection="1">
      <alignment horizontal="center" vertical="top" wrapText="1" readingOrder="1"/>
      <protection locked="0"/>
    </xf>
    <xf numFmtId="0" fontId="1" fillId="0" borderId="1" xfId="0" applyFont="1" applyBorder="1" applyAlignment="1">
      <alignment vertical="center" wrapText="1" readingOrder="1"/>
    </xf>
    <xf numFmtId="0" fontId="2" fillId="0" borderId="0" xfId="0" applyFont="1" applyAlignment="1">
      <alignment horizontal="left" wrapText="1"/>
    </xf>
    <xf numFmtId="0" fontId="1" fillId="7" borderId="1" xfId="0" applyFont="1" applyFill="1" applyBorder="1" applyAlignment="1" applyProtection="1">
      <alignment vertical="top" wrapText="1" readingOrder="1"/>
      <protection locked="0"/>
    </xf>
    <xf numFmtId="0" fontId="1" fillId="7" borderId="1" xfId="0" applyFont="1" applyFill="1" applyBorder="1" applyAlignment="1" applyProtection="1">
      <alignment horizontal="right" vertical="top" wrapText="1" readingOrder="1"/>
      <protection locked="0"/>
    </xf>
    <xf numFmtId="164" fontId="1" fillId="7" borderId="1" xfId="0" applyNumberFormat="1" applyFont="1" applyFill="1" applyBorder="1" applyAlignment="1">
      <alignment horizontal="center" vertical="top" wrapText="1" readingOrder="1"/>
    </xf>
    <xf numFmtId="0" fontId="1" fillId="6" borderId="1" xfId="0" applyFont="1" applyFill="1" applyBorder="1" applyAlignment="1" applyProtection="1">
      <alignment vertical="top" wrapText="1" readingOrder="1"/>
      <protection locked="0"/>
    </xf>
    <xf numFmtId="164" fontId="1" fillId="6" borderId="1" xfId="0" applyNumberFormat="1" applyFont="1" applyFill="1" applyBorder="1" applyAlignment="1">
      <alignment horizontal="center" vertical="top" wrapText="1" readingOrder="1"/>
    </xf>
    <xf numFmtId="0" fontId="3" fillId="0" borderId="7" xfId="0" applyFont="1" applyBorder="1" applyAlignment="1" applyProtection="1">
      <alignment vertical="top" wrapText="1" readingOrder="1"/>
      <protection locked="0"/>
    </xf>
    <xf numFmtId="164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2" fillId="0" borderId="22" xfId="0" applyFont="1" applyBorder="1" applyAlignment="1" applyProtection="1">
      <alignment horizontal="center" vertical="top" wrapText="1" readingOrder="1"/>
      <protection locked="0"/>
    </xf>
    <xf numFmtId="0" fontId="2" fillId="0" borderId="31" xfId="0" applyFont="1" applyBorder="1" applyAlignment="1" applyProtection="1">
      <alignment horizontal="center" vertical="top" wrapText="1" readingOrder="1"/>
      <protection locked="0"/>
    </xf>
    <xf numFmtId="0" fontId="2" fillId="0" borderId="28" xfId="0" applyFont="1" applyBorder="1" applyAlignment="1" applyProtection="1">
      <alignment horizontal="left" vertical="top" wrapText="1" readingOrder="1"/>
      <protection locked="0"/>
    </xf>
    <xf numFmtId="0" fontId="2" fillId="0" borderId="28" xfId="0" applyFont="1" applyBorder="1" applyAlignment="1" applyProtection="1">
      <alignment horizontal="center" vertical="top" wrapText="1" readingOrder="1"/>
      <protection locked="0"/>
    </xf>
    <xf numFmtId="164" fontId="2" fillId="0" borderId="28" xfId="0" applyNumberFormat="1" applyFont="1" applyBorder="1" applyAlignment="1" applyProtection="1">
      <alignment horizontal="center" vertical="top" wrapText="1" readingOrder="1"/>
      <protection locked="0"/>
    </xf>
    <xf numFmtId="0" fontId="2" fillId="0" borderId="32" xfId="0" applyFont="1" applyBorder="1" applyAlignment="1" applyProtection="1">
      <alignment horizontal="center" vertical="top" wrapText="1" readingOrder="1"/>
      <protection locked="0"/>
    </xf>
    <xf numFmtId="0" fontId="2" fillId="0" borderId="33" xfId="0" applyFont="1" applyBorder="1" applyAlignment="1" applyProtection="1">
      <alignment horizontal="left" vertical="top" wrapText="1" readingOrder="1"/>
      <protection locked="0"/>
    </xf>
    <xf numFmtId="164" fontId="2" fillId="0" borderId="33" xfId="0" applyNumberFormat="1" applyFont="1" applyBorder="1" applyAlignment="1" applyProtection="1">
      <alignment horizontal="center" vertical="top" wrapText="1" readingOrder="1"/>
      <protection locked="0"/>
    </xf>
    <xf numFmtId="164" fontId="2" fillId="0" borderId="3" xfId="0" applyNumberFormat="1" applyFont="1" applyBorder="1" applyAlignment="1" applyProtection="1">
      <alignment horizontal="center" vertical="top" wrapText="1" readingOrder="1"/>
      <protection locked="0"/>
    </xf>
    <xf numFmtId="0" fontId="1" fillId="2" borderId="0" xfId="0" applyFont="1" applyFill="1" applyAlignment="1">
      <alignment horizontal="center" wrapText="1"/>
    </xf>
    <xf numFmtId="0" fontId="2" fillId="0" borderId="28" xfId="0" applyFont="1" applyBorder="1" applyAlignment="1" applyProtection="1">
      <alignment horizontal="left" vertical="top" wrapText="1" readingOrder="1"/>
      <protection locked="0"/>
    </xf>
    <xf numFmtId="0" fontId="2" fillId="0" borderId="23" xfId="0" applyFont="1" applyBorder="1" applyAlignment="1" applyProtection="1">
      <alignment horizontal="left" vertical="top" wrapText="1" readingOrder="1"/>
      <protection locked="0"/>
    </xf>
    <xf numFmtId="0" fontId="2" fillId="0" borderId="28" xfId="0" applyFont="1" applyBorder="1" applyAlignment="1" applyProtection="1">
      <alignment horizontal="center" vertical="top" wrapText="1" readingOrder="1"/>
      <protection locked="0"/>
    </xf>
    <xf numFmtId="0" fontId="2" fillId="0" borderId="23" xfId="0" applyFont="1" applyBorder="1" applyAlignment="1" applyProtection="1">
      <alignment horizontal="center" vertical="top" wrapText="1" readingOrder="1"/>
      <protection locked="0"/>
    </xf>
    <xf numFmtId="0" fontId="2" fillId="0" borderId="32" xfId="0" applyFont="1" applyBorder="1" applyAlignment="1" applyProtection="1">
      <alignment horizontal="center" vertical="top" wrapText="1" readingOrder="1"/>
      <protection locked="0"/>
    </xf>
    <xf numFmtId="0" fontId="2" fillId="0" borderId="30" xfId="0" applyFont="1" applyBorder="1" applyAlignment="1" applyProtection="1">
      <alignment horizontal="center" vertical="top" wrapText="1" readingOrder="1"/>
      <protection locked="0"/>
    </xf>
    <xf numFmtId="0" fontId="2" fillId="0" borderId="21" xfId="0" applyFont="1" applyBorder="1" applyAlignment="1" applyProtection="1">
      <alignment horizontal="left" vertical="top" wrapText="1" readingOrder="1"/>
      <protection locked="0"/>
    </xf>
    <xf numFmtId="0" fontId="2" fillId="0" borderId="22" xfId="0" applyFont="1" applyBorder="1" applyAlignment="1" applyProtection="1">
      <alignment horizontal="left" vertical="top" wrapText="1" readingOrder="1"/>
      <protection locked="0"/>
    </xf>
    <xf numFmtId="164" fontId="2" fillId="0" borderId="21" xfId="0" applyNumberFormat="1" applyFont="1" applyBorder="1" applyAlignment="1">
      <alignment horizontal="center" vertical="top" wrapText="1" readingOrder="1"/>
    </xf>
    <xf numFmtId="164" fontId="2" fillId="0" borderId="22" xfId="0" applyNumberFormat="1" applyFont="1" applyBorder="1" applyAlignment="1">
      <alignment horizontal="center" vertical="top" wrapText="1" readingOrder="1"/>
    </xf>
    <xf numFmtId="164" fontId="2" fillId="0" borderId="23" xfId="0" applyNumberFormat="1" applyFont="1" applyBorder="1" applyAlignment="1">
      <alignment horizontal="center" vertical="top" wrapText="1" readingOrder="1"/>
    </xf>
    <xf numFmtId="164" fontId="2" fillId="3" borderId="21" xfId="0" applyNumberFormat="1" applyFont="1" applyFill="1" applyBorder="1" applyAlignment="1">
      <alignment horizontal="center" vertical="top" wrapText="1" readingOrder="1"/>
    </xf>
    <xf numFmtId="164" fontId="2" fillId="3" borderId="22" xfId="0" applyNumberFormat="1" applyFont="1" applyFill="1" applyBorder="1" applyAlignment="1">
      <alignment horizontal="center" vertical="top" wrapText="1" readingOrder="1"/>
    </xf>
    <xf numFmtId="164" fontId="2" fillId="3" borderId="23" xfId="0" applyNumberFormat="1" applyFont="1" applyFill="1" applyBorder="1" applyAlignment="1">
      <alignment horizontal="center" vertical="top" wrapText="1" readingOrder="1"/>
    </xf>
    <xf numFmtId="0" fontId="2" fillId="0" borderId="22" xfId="0" applyFont="1" applyBorder="1" applyAlignment="1" applyProtection="1">
      <alignment horizontal="center" vertical="top" wrapText="1" readingOrder="1"/>
      <protection locked="0"/>
    </xf>
    <xf numFmtId="0" fontId="2" fillId="4" borderId="10" xfId="0" applyFont="1" applyFill="1" applyBorder="1" applyAlignment="1" applyProtection="1">
      <alignment horizontal="left" vertical="top" wrapText="1" readingOrder="1"/>
      <protection locked="0"/>
    </xf>
    <xf numFmtId="0" fontId="2" fillId="4" borderId="11" xfId="0" applyFont="1" applyFill="1" applyBorder="1" applyAlignment="1" applyProtection="1">
      <alignment horizontal="left" vertical="top" wrapText="1" readingOrder="1"/>
      <protection locked="0"/>
    </xf>
    <xf numFmtId="0" fontId="2" fillId="4" borderId="10" xfId="0" applyFont="1" applyFill="1" applyBorder="1" applyAlignment="1" applyProtection="1">
      <alignment horizontal="center" vertical="top" wrapText="1" readingOrder="1"/>
      <protection locked="0"/>
    </xf>
    <xf numFmtId="0" fontId="2" fillId="4" borderId="24" xfId="0" applyFont="1" applyFill="1" applyBorder="1" applyAlignment="1" applyProtection="1">
      <alignment horizontal="center" vertical="top" wrapText="1" readingOrder="1"/>
      <protection locked="0"/>
    </xf>
    <xf numFmtId="0" fontId="2" fillId="4" borderId="25" xfId="0" applyFont="1" applyFill="1" applyBorder="1" applyAlignment="1" applyProtection="1">
      <alignment horizontal="center" vertical="top" wrapText="1" readingOrder="1"/>
      <protection locked="0"/>
    </xf>
    <xf numFmtId="0" fontId="2" fillId="0" borderId="31" xfId="0" applyFont="1" applyBorder="1" applyAlignment="1" applyProtection="1">
      <alignment horizontal="center" vertical="top" wrapText="1" readingOrder="1"/>
      <protection locked="0"/>
    </xf>
    <xf numFmtId="0" fontId="2" fillId="0" borderId="21" xfId="0" applyFont="1" applyBorder="1" applyAlignment="1" applyProtection="1">
      <alignment horizontal="center" vertical="top" wrapText="1" readingOrder="1"/>
      <protection locked="0"/>
    </xf>
    <xf numFmtId="0" fontId="2" fillId="0" borderId="29" xfId="0" applyFont="1" applyBorder="1" applyAlignment="1" applyProtection="1">
      <alignment horizontal="center" vertical="top" wrapText="1" readingOrder="1"/>
      <protection locked="0"/>
    </xf>
    <xf numFmtId="3" fontId="2" fillId="0" borderId="21" xfId="0" applyNumberFormat="1" applyFont="1" applyBorder="1" applyAlignment="1" applyProtection="1">
      <alignment horizontal="center" vertical="top" wrapText="1" readingOrder="1"/>
      <protection locked="0"/>
    </xf>
    <xf numFmtId="3" fontId="2" fillId="0" borderId="22" xfId="0" applyNumberFormat="1" applyFont="1" applyBorder="1" applyAlignment="1" applyProtection="1">
      <alignment horizontal="center" vertical="top" wrapText="1" readingOrder="1"/>
      <protection locked="0"/>
    </xf>
    <xf numFmtId="3" fontId="2" fillId="0" borderId="23" xfId="0" applyNumberFormat="1" applyFont="1" applyBorder="1" applyAlignment="1" applyProtection="1">
      <alignment horizontal="center" vertical="top" wrapText="1" readingOrder="1"/>
      <protection locked="0"/>
    </xf>
    <xf numFmtId="3" fontId="2" fillId="0" borderId="29" xfId="0" applyNumberFormat="1" applyFont="1" applyBorder="1" applyAlignment="1" applyProtection="1">
      <alignment horizontal="center" vertical="top" wrapText="1" readingOrder="1"/>
      <protection locked="0"/>
    </xf>
    <xf numFmtId="3" fontId="2" fillId="0" borderId="31" xfId="0" applyNumberFormat="1" applyFont="1" applyBorder="1" applyAlignment="1" applyProtection="1">
      <alignment horizontal="center" vertical="top" wrapText="1" readingOrder="1"/>
      <protection locked="0"/>
    </xf>
    <xf numFmtId="3" fontId="2" fillId="0" borderId="30" xfId="0" applyNumberFormat="1" applyFont="1" applyBorder="1" applyAlignment="1" applyProtection="1">
      <alignment horizontal="center" vertical="top" wrapText="1" readingOrder="1"/>
      <protection locked="0"/>
    </xf>
    <xf numFmtId="3" fontId="2" fillId="0" borderId="28" xfId="0" applyNumberFormat="1" applyFont="1" applyBorder="1" applyAlignment="1" applyProtection="1">
      <alignment horizontal="center" vertical="top" wrapText="1" readingOrder="1"/>
      <protection locked="0"/>
    </xf>
    <xf numFmtId="3" fontId="2" fillId="0" borderId="32" xfId="0" applyNumberFormat="1" applyFont="1" applyBorder="1" applyAlignment="1" applyProtection="1">
      <alignment horizontal="center" vertical="top" wrapText="1" readingOrder="1"/>
      <protection locked="0"/>
    </xf>
    <xf numFmtId="164" fontId="2" fillId="0" borderId="28" xfId="0" applyNumberFormat="1" applyFont="1" applyBorder="1" applyAlignment="1" applyProtection="1">
      <alignment horizontal="center" vertical="top" wrapText="1" readingOrder="1"/>
      <protection locked="0"/>
    </xf>
    <xf numFmtId="164" fontId="2" fillId="0" borderId="22" xfId="0" applyNumberFormat="1" applyFont="1" applyBorder="1" applyAlignment="1" applyProtection="1">
      <alignment horizontal="center" vertical="top" wrapText="1" readingOrder="1"/>
      <protection locked="0"/>
    </xf>
    <xf numFmtId="164" fontId="2" fillId="0" borderId="23" xfId="0" applyNumberFormat="1" applyFont="1" applyBorder="1" applyAlignment="1" applyProtection="1">
      <alignment horizontal="center" vertical="top" wrapText="1" readingOrder="1"/>
      <protection locked="0"/>
    </xf>
    <xf numFmtId="0" fontId="2" fillId="3" borderId="10" xfId="0" applyFont="1" applyFill="1" applyBorder="1" applyAlignment="1" applyProtection="1">
      <alignment horizontal="left" vertical="top" wrapText="1" readingOrder="1"/>
      <protection locked="0"/>
    </xf>
    <xf numFmtId="0" fontId="2" fillId="3" borderId="24" xfId="0" applyFont="1" applyFill="1" applyBorder="1" applyAlignment="1" applyProtection="1">
      <alignment horizontal="left" vertical="top" wrapText="1" readingOrder="1"/>
      <protection locked="0"/>
    </xf>
    <xf numFmtId="0" fontId="2" fillId="3" borderId="11" xfId="0" applyFont="1" applyFill="1" applyBorder="1" applyAlignment="1" applyProtection="1">
      <alignment horizontal="left" vertical="top" wrapText="1" readingOrder="1"/>
      <protection locked="0"/>
    </xf>
    <xf numFmtId="0" fontId="1" fillId="0" borderId="8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top" wrapText="1" readingOrder="1"/>
      <protection locked="0"/>
    </xf>
    <xf numFmtId="0" fontId="2" fillId="0" borderId="20" xfId="0" applyFont="1" applyBorder="1" applyAlignment="1" applyProtection="1">
      <alignment vertical="top" wrapText="1" readingOrder="1"/>
      <protection locked="0"/>
    </xf>
    <xf numFmtId="0" fontId="2" fillId="0" borderId="13" xfId="0" applyFont="1" applyBorder="1" applyAlignment="1" applyProtection="1">
      <alignment vertical="top" wrapText="1" readingOrder="1"/>
      <protection locked="0"/>
    </xf>
    <xf numFmtId="0" fontId="2" fillId="0" borderId="21" xfId="0" applyFont="1" applyBorder="1" applyAlignment="1" applyProtection="1">
      <alignment vertical="top" wrapText="1" readingOrder="1"/>
      <protection locked="0"/>
    </xf>
    <xf numFmtId="0" fontId="2" fillId="0" borderId="22" xfId="0" applyFont="1" applyBorder="1" applyAlignment="1" applyProtection="1">
      <alignment vertical="top" wrapText="1" readingOrder="1"/>
      <protection locked="0"/>
    </xf>
    <xf numFmtId="0" fontId="2" fillId="0" borderId="23" xfId="0" applyFont="1" applyBorder="1" applyAlignment="1" applyProtection="1">
      <alignment vertical="top" wrapText="1" readingOrder="1"/>
      <protection locked="0"/>
    </xf>
    <xf numFmtId="0" fontId="2" fillId="3" borderId="12" xfId="0" applyFont="1" applyFill="1" applyBorder="1" applyAlignment="1" applyProtection="1">
      <alignment vertical="top" wrapText="1" readingOrder="1"/>
      <protection locked="0"/>
    </xf>
    <xf numFmtId="0" fontId="2" fillId="3" borderId="13" xfId="0" applyFont="1" applyFill="1" applyBorder="1" applyAlignment="1" applyProtection="1">
      <alignment vertical="top" wrapText="1" readingOrder="1"/>
      <protection locked="0"/>
    </xf>
    <xf numFmtId="0" fontId="2" fillId="3" borderId="14" xfId="0" applyFont="1" applyFill="1" applyBorder="1" applyAlignment="1" applyProtection="1">
      <alignment horizontal="left" vertical="top" wrapText="1" readingOrder="1"/>
      <protection locked="0"/>
    </xf>
    <xf numFmtId="0" fontId="2" fillId="3" borderId="15" xfId="0" applyFont="1" applyFill="1" applyBorder="1" applyAlignment="1" applyProtection="1">
      <alignment horizontal="left" vertical="top" wrapText="1" readingOrder="1"/>
      <protection locked="0"/>
    </xf>
    <xf numFmtId="0" fontId="2" fillId="3" borderId="16" xfId="0" applyFont="1" applyFill="1" applyBorder="1" applyAlignment="1" applyProtection="1">
      <alignment horizontal="left" vertical="top" wrapText="1" readingOrder="1"/>
      <protection locked="0"/>
    </xf>
    <xf numFmtId="0" fontId="2" fillId="3" borderId="17" xfId="0" applyFont="1" applyFill="1" applyBorder="1" applyAlignment="1" applyProtection="1">
      <alignment horizontal="left" vertical="top" wrapText="1" readingOrder="1"/>
      <protection locked="0"/>
    </xf>
    <xf numFmtId="0" fontId="2" fillId="3" borderId="18" xfId="0" applyFont="1" applyFill="1" applyBorder="1" applyAlignment="1" applyProtection="1">
      <alignment horizontal="left" vertical="top" wrapText="1" readingOrder="1"/>
      <protection locked="0"/>
    </xf>
    <xf numFmtId="0" fontId="2" fillId="3" borderId="19" xfId="0" applyFont="1" applyFill="1" applyBorder="1" applyAlignment="1" applyProtection="1">
      <alignment horizontal="left" vertical="top" wrapText="1" readingOrder="1"/>
      <protection locked="0"/>
    </xf>
    <xf numFmtId="0" fontId="1" fillId="0" borderId="7" xfId="0" applyFont="1" applyBorder="1" applyAlignment="1">
      <alignment vertical="center" wrapText="1" readingOrder="1"/>
    </xf>
    <xf numFmtId="0" fontId="1" fillId="0" borderId="5" xfId="0" applyFont="1" applyBorder="1" applyAlignment="1">
      <alignment vertical="center" wrapText="1" readingOrder="1"/>
    </xf>
    <xf numFmtId="0" fontId="1" fillId="0" borderId="2" xfId="0" applyFont="1" applyBorder="1" applyAlignment="1">
      <alignment vertical="center" wrapText="1" readingOrder="1"/>
    </xf>
    <xf numFmtId="0" fontId="2" fillId="3" borderId="20" xfId="0" applyFont="1" applyFill="1" applyBorder="1" applyAlignment="1" applyProtection="1">
      <alignment vertical="top" wrapText="1" readingOrder="1"/>
      <protection locked="0"/>
    </xf>
    <xf numFmtId="0" fontId="2" fillId="3" borderId="26" xfId="0" applyFont="1" applyFill="1" applyBorder="1" applyAlignment="1" applyProtection="1">
      <alignment horizontal="left" vertical="top" wrapText="1" readingOrder="1"/>
      <protection locked="0"/>
    </xf>
    <xf numFmtId="0" fontId="2" fillId="3" borderId="0" xfId="0" applyFont="1" applyFill="1" applyBorder="1" applyAlignment="1" applyProtection="1">
      <alignment horizontal="left" vertical="top" wrapText="1" readingOrder="1"/>
      <protection locked="0"/>
    </xf>
    <xf numFmtId="0" fontId="2" fillId="3" borderId="27" xfId="0" applyFont="1" applyFill="1" applyBorder="1" applyAlignment="1" applyProtection="1">
      <alignment horizontal="left" vertical="top" wrapText="1" readingOrder="1"/>
      <protection locked="0"/>
    </xf>
    <xf numFmtId="0" fontId="2" fillId="0" borderId="21" xfId="0" applyFont="1" applyBorder="1" applyAlignment="1" applyProtection="1">
      <alignment vertical="top" readingOrder="1"/>
      <protection locked="0"/>
    </xf>
    <xf numFmtId="0" fontId="2" fillId="0" borderId="22" xfId="0" applyFont="1" applyBorder="1" applyAlignment="1" applyProtection="1">
      <alignment vertical="top" readingOrder="1"/>
      <protection locked="0"/>
    </xf>
    <xf numFmtId="0" fontId="2" fillId="0" borderId="23" xfId="0" applyFont="1" applyBorder="1" applyAlignment="1" applyProtection="1">
      <alignment vertical="top" readingOrder="1"/>
      <protection locked="0"/>
    </xf>
    <xf numFmtId="0" fontId="2" fillId="3" borderId="14" xfId="0" applyFont="1" applyFill="1" applyBorder="1" applyAlignment="1" applyProtection="1">
      <alignment horizontal="left" vertical="top" readingOrder="1"/>
      <protection locked="0"/>
    </xf>
    <xf numFmtId="0" fontId="2" fillId="3" borderId="15" xfId="0" applyFont="1" applyFill="1" applyBorder="1" applyAlignment="1" applyProtection="1">
      <alignment horizontal="left" vertical="top" readingOrder="1"/>
      <protection locked="0"/>
    </xf>
    <xf numFmtId="0" fontId="2" fillId="3" borderId="16" xfId="0" applyFont="1" applyFill="1" applyBorder="1" applyAlignment="1" applyProtection="1">
      <alignment horizontal="left" vertical="top" readingOrder="1"/>
      <protection locked="0"/>
    </xf>
    <xf numFmtId="0" fontId="2" fillId="3" borderId="26" xfId="0" applyFont="1" applyFill="1" applyBorder="1" applyAlignment="1" applyProtection="1">
      <alignment horizontal="left" vertical="top" readingOrder="1"/>
      <protection locked="0"/>
    </xf>
    <xf numFmtId="0" fontId="2" fillId="3" borderId="0" xfId="0" applyFont="1" applyFill="1" applyBorder="1" applyAlignment="1" applyProtection="1">
      <alignment horizontal="left" vertical="top" readingOrder="1"/>
      <protection locked="0"/>
    </xf>
    <xf numFmtId="0" fontId="2" fillId="3" borderId="27" xfId="0" applyFont="1" applyFill="1" applyBorder="1" applyAlignment="1" applyProtection="1">
      <alignment horizontal="left" vertical="top" readingOrder="1"/>
      <protection locked="0"/>
    </xf>
    <xf numFmtId="0" fontId="2" fillId="3" borderId="17" xfId="0" applyFont="1" applyFill="1" applyBorder="1" applyAlignment="1" applyProtection="1">
      <alignment horizontal="left" vertical="top" readingOrder="1"/>
      <protection locked="0"/>
    </xf>
    <xf numFmtId="0" fontId="2" fillId="3" borderId="18" xfId="0" applyFont="1" applyFill="1" applyBorder="1" applyAlignment="1" applyProtection="1">
      <alignment horizontal="left" vertical="top" readingOrder="1"/>
      <protection locked="0"/>
    </xf>
    <xf numFmtId="0" fontId="2" fillId="3" borderId="19" xfId="0" applyFont="1" applyFill="1" applyBorder="1" applyAlignment="1" applyProtection="1">
      <alignment horizontal="left" vertical="top" readingOrder="1"/>
      <protection locked="0"/>
    </xf>
    <xf numFmtId="0" fontId="2" fillId="0" borderId="17" xfId="0" applyFont="1" applyBorder="1" applyAlignment="1" applyProtection="1">
      <alignment vertical="top" wrapText="1" readingOrder="1"/>
      <protection locked="0"/>
    </xf>
    <xf numFmtId="49" fontId="2" fillId="0" borderId="12" xfId="0" applyNumberFormat="1" applyFont="1" applyBorder="1" applyAlignment="1" applyProtection="1">
      <alignment horizontal="left" vertical="top" wrapText="1" readingOrder="1"/>
      <protection locked="0"/>
    </xf>
    <xf numFmtId="49" fontId="2" fillId="0" borderId="13" xfId="0" applyNumberFormat="1" applyFont="1" applyBorder="1" applyAlignment="1" applyProtection="1">
      <alignment horizontal="left" vertical="top" wrapText="1" readingOrder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D8F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0"/>
  <sheetViews>
    <sheetView showZeros="0" tabSelected="1" topLeftCell="D451" workbookViewId="0">
      <selection activeCell="L453" sqref="L453"/>
    </sheetView>
  </sheetViews>
  <sheetFormatPr defaultColWidth="9.109375" defaultRowHeight="13.8" x14ac:dyDescent="0.25"/>
  <cols>
    <col min="1" max="1" width="9.44140625" style="21" customWidth="1"/>
    <col min="2" max="2" width="36" style="21" customWidth="1"/>
    <col min="3" max="3" width="31.88671875" style="21" customWidth="1"/>
    <col min="4" max="4" width="13.109375" style="58" customWidth="1"/>
    <col min="5" max="5" width="13.33203125" style="35" customWidth="1"/>
    <col min="6" max="6" width="13.109375" style="35" customWidth="1"/>
    <col min="7" max="7" width="11.5546875" style="35" customWidth="1"/>
    <col min="8" max="8" width="45.6640625" style="21" customWidth="1"/>
    <col min="9" max="9" width="7.44140625" style="21" customWidth="1"/>
    <col min="10" max="12" width="13" style="35" customWidth="1"/>
    <col min="13" max="16384" width="9.109375" style="2"/>
  </cols>
  <sheetData>
    <row r="1" spans="1:12" x14ac:dyDescent="0.25">
      <c r="D1" s="21"/>
      <c r="E1" s="21"/>
      <c r="F1" s="21"/>
      <c r="G1" s="21"/>
    </row>
    <row r="2" spans="1:12" ht="15.75" customHeight="1" x14ac:dyDescent="0.25">
      <c r="D2" s="21"/>
      <c r="E2" s="21"/>
      <c r="F2" s="21"/>
      <c r="G2" s="21"/>
      <c r="H2" s="21" t="s">
        <v>1288</v>
      </c>
    </row>
    <row r="3" spans="1:12" x14ac:dyDescent="0.25">
      <c r="D3" s="21"/>
      <c r="E3" s="21"/>
      <c r="F3" s="21"/>
      <c r="G3" s="21"/>
      <c r="H3" s="21" t="s">
        <v>1286</v>
      </c>
    </row>
    <row r="4" spans="1:12" x14ac:dyDescent="0.25">
      <c r="D4" s="21"/>
      <c r="E4" s="21"/>
      <c r="F4" s="21"/>
      <c r="G4" s="21"/>
      <c r="H4" s="21" t="s">
        <v>1287</v>
      </c>
    </row>
    <row r="5" spans="1:12" x14ac:dyDescent="0.25">
      <c r="D5" s="21"/>
      <c r="E5" s="21"/>
      <c r="F5" s="21"/>
      <c r="G5" s="21"/>
    </row>
    <row r="6" spans="1:12" s="1" customFormat="1" x14ac:dyDescent="0.25">
      <c r="A6" s="76" t="s">
        <v>1289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12" ht="14.4" thickBot="1" x14ac:dyDescent="0.3">
      <c r="L7" s="66" t="s">
        <v>1285</v>
      </c>
    </row>
    <row r="8" spans="1:12" s="25" customFormat="1" x14ac:dyDescent="0.3">
      <c r="A8" s="135" t="s">
        <v>0</v>
      </c>
      <c r="B8" s="114" t="s">
        <v>1</v>
      </c>
      <c r="C8" s="114" t="s">
        <v>2</v>
      </c>
      <c r="D8" s="114" t="s">
        <v>3</v>
      </c>
      <c r="E8" s="114" t="s">
        <v>4</v>
      </c>
      <c r="F8" s="114" t="s">
        <v>5</v>
      </c>
      <c r="G8" s="114" t="s">
        <v>6</v>
      </c>
      <c r="H8" s="114" t="s">
        <v>7</v>
      </c>
      <c r="I8" s="117"/>
      <c r="J8" s="117"/>
      <c r="K8" s="117"/>
      <c r="L8" s="118"/>
    </row>
    <row r="9" spans="1:12" s="25" customFormat="1" x14ac:dyDescent="0.3">
      <c r="A9" s="136"/>
      <c r="B9" s="115"/>
      <c r="C9" s="115"/>
      <c r="D9" s="115"/>
      <c r="E9" s="115"/>
      <c r="F9" s="115"/>
      <c r="G9" s="115"/>
      <c r="H9" s="115" t="s">
        <v>8</v>
      </c>
      <c r="I9" s="115" t="s">
        <v>9</v>
      </c>
      <c r="J9" s="115" t="s">
        <v>10</v>
      </c>
      <c r="K9" s="119"/>
      <c r="L9" s="120"/>
    </row>
    <row r="10" spans="1:12" s="25" customFormat="1" ht="14.4" thickBot="1" x14ac:dyDescent="0.35">
      <c r="A10" s="137"/>
      <c r="B10" s="116"/>
      <c r="C10" s="116"/>
      <c r="D10" s="116"/>
      <c r="E10" s="116"/>
      <c r="F10" s="116"/>
      <c r="G10" s="116"/>
      <c r="H10" s="116"/>
      <c r="I10" s="116"/>
      <c r="J10" s="26" t="s">
        <v>11</v>
      </c>
      <c r="K10" s="26" t="s">
        <v>12</v>
      </c>
      <c r="L10" s="27" t="s">
        <v>13</v>
      </c>
    </row>
    <row r="11" spans="1:12" ht="27" customHeight="1" thickBot="1" x14ac:dyDescent="0.3">
      <c r="A11" s="4" t="s">
        <v>14</v>
      </c>
      <c r="B11" s="5" t="s">
        <v>15</v>
      </c>
      <c r="C11" s="92" t="s">
        <v>16</v>
      </c>
      <c r="D11" s="93"/>
      <c r="E11" s="28">
        <f>E12+E41+E54+E79+E104+E110</f>
        <v>33040.799999999996</v>
      </c>
      <c r="F11" s="28">
        <f>F12+F41+F54+F79+F104+F110</f>
        <v>33357.699999999997</v>
      </c>
      <c r="G11" s="28">
        <f>G12+G41+G54+G79+G104+G110</f>
        <v>34643.699999999997</v>
      </c>
      <c r="H11" s="94"/>
      <c r="I11" s="95"/>
      <c r="J11" s="95"/>
      <c r="K11" s="95"/>
      <c r="L11" s="96"/>
    </row>
    <row r="12" spans="1:12" ht="27.6" x14ac:dyDescent="0.25">
      <c r="A12" s="127" t="s">
        <v>17</v>
      </c>
      <c r="B12" s="129" t="s">
        <v>18</v>
      </c>
      <c r="C12" s="130"/>
      <c r="D12" s="131"/>
      <c r="E12" s="29">
        <f>E13+E14+E21+E28+E30+E37+E38</f>
        <v>2485.6000000000004</v>
      </c>
      <c r="F12" s="29">
        <f>F13+F14+F21+F28+F30+F37+F38</f>
        <v>283.10000000000002</v>
      </c>
      <c r="G12" s="29">
        <f>G13+G14+G21+G28+G30+G37+G38</f>
        <v>228.9</v>
      </c>
      <c r="H12" s="7" t="s">
        <v>19</v>
      </c>
      <c r="I12" s="8" t="s">
        <v>1283</v>
      </c>
      <c r="J12" s="36">
        <v>1333.6</v>
      </c>
      <c r="K12" s="36">
        <v>1316.5</v>
      </c>
      <c r="L12" s="37">
        <v>1235.5</v>
      </c>
    </row>
    <row r="13" spans="1:12" ht="28.2" thickBot="1" x14ac:dyDescent="0.3">
      <c r="A13" s="128"/>
      <c r="B13" s="132"/>
      <c r="C13" s="133"/>
      <c r="D13" s="134"/>
      <c r="E13" s="30">
        <v>0</v>
      </c>
      <c r="F13" s="30">
        <v>0</v>
      </c>
      <c r="G13" s="30">
        <v>0</v>
      </c>
      <c r="H13" s="22" t="s">
        <v>21</v>
      </c>
      <c r="I13" s="23" t="s">
        <v>22</v>
      </c>
      <c r="J13" s="23">
        <v>16</v>
      </c>
      <c r="K13" s="23">
        <v>15</v>
      </c>
      <c r="L13" s="38">
        <v>14</v>
      </c>
    </row>
    <row r="14" spans="1:12" ht="27.6" x14ac:dyDescent="0.25">
      <c r="A14" s="121" t="s">
        <v>23</v>
      </c>
      <c r="B14" s="83" t="s">
        <v>24</v>
      </c>
      <c r="C14" s="124" t="s">
        <v>25</v>
      </c>
      <c r="D14" s="14"/>
      <c r="E14" s="31">
        <f>SUM(E15:E20)</f>
        <v>747</v>
      </c>
      <c r="F14" s="31">
        <f>SUM(F15:F20)</f>
        <v>0</v>
      </c>
      <c r="G14" s="31">
        <f>SUM(G15:G20)</f>
        <v>0</v>
      </c>
      <c r="H14" s="14" t="s">
        <v>26</v>
      </c>
      <c r="I14" s="15" t="s">
        <v>22</v>
      </c>
      <c r="J14" s="15">
        <v>1</v>
      </c>
      <c r="K14" s="15"/>
      <c r="L14" s="39"/>
    </row>
    <row r="15" spans="1:12" ht="41.4" x14ac:dyDescent="0.25">
      <c r="A15" s="122"/>
      <c r="B15" s="84"/>
      <c r="C15" s="125"/>
      <c r="D15" s="10" t="s">
        <v>27</v>
      </c>
      <c r="E15" s="32">
        <v>124.3</v>
      </c>
      <c r="F15" s="32">
        <v>0</v>
      </c>
      <c r="G15" s="32">
        <v>0</v>
      </c>
      <c r="H15" s="10" t="s">
        <v>28</v>
      </c>
      <c r="I15" s="11" t="s">
        <v>29</v>
      </c>
      <c r="J15" s="11">
        <v>30</v>
      </c>
      <c r="K15" s="11">
        <v>30</v>
      </c>
      <c r="L15" s="40">
        <v>40</v>
      </c>
    </row>
    <row r="16" spans="1:12" ht="27.6" x14ac:dyDescent="0.25">
      <c r="A16" s="122"/>
      <c r="B16" s="84"/>
      <c r="C16" s="125"/>
      <c r="D16" s="77" t="s">
        <v>30</v>
      </c>
      <c r="E16" s="108">
        <v>622.70000000000005</v>
      </c>
      <c r="F16" s="108">
        <v>0</v>
      </c>
      <c r="G16" s="108">
        <v>0</v>
      </c>
      <c r="H16" s="10" t="s">
        <v>31</v>
      </c>
      <c r="I16" s="11" t="s">
        <v>29</v>
      </c>
      <c r="J16" s="11">
        <v>100</v>
      </c>
      <c r="K16" s="11">
        <v>100</v>
      </c>
      <c r="L16" s="40">
        <v>100</v>
      </c>
    </row>
    <row r="17" spans="1:12" ht="27.6" x14ac:dyDescent="0.25">
      <c r="A17" s="122"/>
      <c r="B17" s="84"/>
      <c r="C17" s="125"/>
      <c r="D17" s="84"/>
      <c r="E17" s="109"/>
      <c r="F17" s="109"/>
      <c r="G17" s="109"/>
      <c r="H17" s="10" t="s">
        <v>32</v>
      </c>
      <c r="I17" s="11" t="s">
        <v>29</v>
      </c>
      <c r="J17" s="11">
        <v>25</v>
      </c>
      <c r="K17" s="11">
        <v>30</v>
      </c>
      <c r="L17" s="40">
        <v>40</v>
      </c>
    </row>
    <row r="18" spans="1:12" ht="27.6" x14ac:dyDescent="0.25">
      <c r="A18" s="122"/>
      <c r="B18" s="84"/>
      <c r="C18" s="125"/>
      <c r="D18" s="84"/>
      <c r="E18" s="109"/>
      <c r="F18" s="109"/>
      <c r="G18" s="109"/>
      <c r="H18" s="10" t="s">
        <v>33</v>
      </c>
      <c r="I18" s="11" t="s">
        <v>29</v>
      </c>
      <c r="J18" s="11">
        <v>8</v>
      </c>
      <c r="K18" s="11">
        <v>10</v>
      </c>
      <c r="L18" s="40">
        <v>12</v>
      </c>
    </row>
    <row r="19" spans="1:12" ht="27.6" x14ac:dyDescent="0.25">
      <c r="A19" s="122"/>
      <c r="B19" s="84"/>
      <c r="C19" s="125"/>
      <c r="D19" s="84"/>
      <c r="E19" s="109"/>
      <c r="F19" s="109"/>
      <c r="G19" s="109"/>
      <c r="H19" s="10" t="s">
        <v>34</v>
      </c>
      <c r="I19" s="11" t="s">
        <v>29</v>
      </c>
      <c r="J19" s="11">
        <v>60</v>
      </c>
      <c r="K19" s="11">
        <v>65</v>
      </c>
      <c r="L19" s="40">
        <v>70</v>
      </c>
    </row>
    <row r="20" spans="1:12" ht="33" customHeight="1" thickBot="1" x14ac:dyDescent="0.3">
      <c r="A20" s="123"/>
      <c r="B20" s="78"/>
      <c r="C20" s="126"/>
      <c r="D20" s="78"/>
      <c r="E20" s="110"/>
      <c r="F20" s="110"/>
      <c r="G20" s="110"/>
      <c r="H20" s="10" t="s">
        <v>35</v>
      </c>
      <c r="I20" s="11" t="s">
        <v>29</v>
      </c>
      <c r="J20" s="11">
        <v>30</v>
      </c>
      <c r="K20" s="11">
        <v>35</v>
      </c>
      <c r="L20" s="40">
        <v>40</v>
      </c>
    </row>
    <row r="21" spans="1:12" ht="27.6" x14ac:dyDescent="0.25">
      <c r="A21" s="121" t="s">
        <v>36</v>
      </c>
      <c r="B21" s="83" t="s">
        <v>37</v>
      </c>
      <c r="C21" s="124" t="s">
        <v>38</v>
      </c>
      <c r="D21" s="14"/>
      <c r="E21" s="31">
        <f>SUM(E22:E27)</f>
        <v>180.9</v>
      </c>
      <c r="F21" s="31">
        <f>SUM(F22:F27)</f>
        <v>150</v>
      </c>
      <c r="G21" s="31">
        <f>SUM(G22:G27)</f>
        <v>94.5</v>
      </c>
      <c r="H21" s="14" t="s">
        <v>39</v>
      </c>
      <c r="I21" s="15" t="s">
        <v>22</v>
      </c>
      <c r="J21" s="15">
        <v>1</v>
      </c>
      <c r="K21" s="15"/>
      <c r="L21" s="39"/>
    </row>
    <row r="22" spans="1:12" ht="27" customHeight="1" x14ac:dyDescent="0.25">
      <c r="A22" s="122"/>
      <c r="B22" s="84"/>
      <c r="C22" s="125"/>
      <c r="D22" s="10" t="s">
        <v>40</v>
      </c>
      <c r="E22" s="32">
        <v>120</v>
      </c>
      <c r="F22" s="32">
        <v>150</v>
      </c>
      <c r="G22" s="32">
        <v>94.5</v>
      </c>
      <c r="H22" s="10" t="s">
        <v>41</v>
      </c>
      <c r="I22" s="11" t="s">
        <v>22</v>
      </c>
      <c r="J22" s="11">
        <v>1</v>
      </c>
      <c r="K22" s="11"/>
      <c r="L22" s="40"/>
    </row>
    <row r="23" spans="1:12" ht="27.6" x14ac:dyDescent="0.25">
      <c r="A23" s="122"/>
      <c r="B23" s="84"/>
      <c r="C23" s="125"/>
      <c r="D23" s="77" t="s">
        <v>30</v>
      </c>
      <c r="E23" s="108">
        <v>60.9</v>
      </c>
      <c r="F23" s="108">
        <v>0</v>
      </c>
      <c r="G23" s="108">
        <v>0</v>
      </c>
      <c r="H23" s="10" t="s">
        <v>42</v>
      </c>
      <c r="I23" s="11" t="s">
        <v>22</v>
      </c>
      <c r="J23" s="11">
        <v>4</v>
      </c>
      <c r="K23" s="11">
        <v>10</v>
      </c>
      <c r="L23" s="40">
        <v>2</v>
      </c>
    </row>
    <row r="24" spans="1:12" ht="27.6" x14ac:dyDescent="0.25">
      <c r="A24" s="122"/>
      <c r="B24" s="84"/>
      <c r="C24" s="125"/>
      <c r="D24" s="84"/>
      <c r="E24" s="109"/>
      <c r="F24" s="109"/>
      <c r="G24" s="109"/>
      <c r="H24" s="10" t="s">
        <v>43</v>
      </c>
      <c r="I24" s="11" t="s">
        <v>22</v>
      </c>
      <c r="J24" s="11">
        <v>1</v>
      </c>
      <c r="K24" s="11"/>
      <c r="L24" s="40"/>
    </row>
    <row r="25" spans="1:12" ht="41.4" x14ac:dyDescent="0.25">
      <c r="A25" s="122"/>
      <c r="B25" s="84"/>
      <c r="C25" s="125"/>
      <c r="D25" s="84"/>
      <c r="E25" s="109"/>
      <c r="F25" s="109"/>
      <c r="G25" s="109"/>
      <c r="H25" s="10" t="s">
        <v>44</v>
      </c>
      <c r="I25" s="11" t="s">
        <v>22</v>
      </c>
      <c r="J25" s="11"/>
      <c r="K25" s="11">
        <v>1</v>
      </c>
      <c r="L25" s="40">
        <v>1</v>
      </c>
    </row>
    <row r="26" spans="1:12" ht="27.6" x14ac:dyDescent="0.25">
      <c r="A26" s="122"/>
      <c r="B26" s="84"/>
      <c r="C26" s="125"/>
      <c r="D26" s="84"/>
      <c r="E26" s="109"/>
      <c r="F26" s="109"/>
      <c r="G26" s="109"/>
      <c r="H26" s="10" t="s">
        <v>45</v>
      </c>
      <c r="I26" s="11" t="s">
        <v>22</v>
      </c>
      <c r="J26" s="11"/>
      <c r="K26" s="11">
        <v>80</v>
      </c>
      <c r="L26" s="40"/>
    </row>
    <row r="27" spans="1:12" ht="28.2" thickBot="1" x14ac:dyDescent="0.3">
      <c r="A27" s="123"/>
      <c r="B27" s="78"/>
      <c r="C27" s="126"/>
      <c r="D27" s="78"/>
      <c r="E27" s="110"/>
      <c r="F27" s="110"/>
      <c r="G27" s="110"/>
      <c r="H27" s="10" t="s">
        <v>46</v>
      </c>
      <c r="I27" s="11" t="s">
        <v>22</v>
      </c>
      <c r="J27" s="11"/>
      <c r="K27" s="11">
        <v>1</v>
      </c>
      <c r="L27" s="40"/>
    </row>
    <row r="28" spans="1:12" ht="31.5" customHeight="1" x14ac:dyDescent="0.25">
      <c r="A28" s="121" t="s">
        <v>47</v>
      </c>
      <c r="B28" s="83" t="s">
        <v>48</v>
      </c>
      <c r="C28" s="124" t="s">
        <v>49</v>
      </c>
      <c r="D28" s="83" t="s">
        <v>40</v>
      </c>
      <c r="E28" s="85">
        <f>SUM(E29:E29)+620</f>
        <v>620</v>
      </c>
      <c r="F28" s="85">
        <f>SUM(F29:F29)+120</f>
        <v>120</v>
      </c>
      <c r="G28" s="85">
        <f>SUM(G29:G29)+120</f>
        <v>120</v>
      </c>
      <c r="H28" s="14" t="s">
        <v>50</v>
      </c>
      <c r="I28" s="15" t="s">
        <v>29</v>
      </c>
      <c r="J28" s="15">
        <v>70</v>
      </c>
      <c r="K28" s="15">
        <v>85</v>
      </c>
      <c r="L28" s="39">
        <v>88</v>
      </c>
    </row>
    <row r="29" spans="1:12" ht="33" customHeight="1" thickBot="1" x14ac:dyDescent="0.3">
      <c r="A29" s="123"/>
      <c r="B29" s="78"/>
      <c r="C29" s="126"/>
      <c r="D29" s="78"/>
      <c r="E29" s="87"/>
      <c r="F29" s="87"/>
      <c r="G29" s="87"/>
      <c r="H29" s="10" t="s">
        <v>51</v>
      </c>
      <c r="I29" s="11" t="s">
        <v>29</v>
      </c>
      <c r="J29" s="11">
        <v>70</v>
      </c>
      <c r="K29" s="11">
        <v>100</v>
      </c>
      <c r="L29" s="40"/>
    </row>
    <row r="30" spans="1:12" ht="31.5" customHeight="1" x14ac:dyDescent="0.25">
      <c r="A30" s="121" t="s">
        <v>52</v>
      </c>
      <c r="B30" s="83" t="s">
        <v>53</v>
      </c>
      <c r="C30" s="124" t="s">
        <v>54</v>
      </c>
      <c r="D30" s="83" t="s">
        <v>40</v>
      </c>
      <c r="E30" s="85">
        <f>SUM(E31:E36)+12.7</f>
        <v>12.7</v>
      </c>
      <c r="F30" s="85">
        <f>SUM(F31:F36)+13.1</f>
        <v>13.1</v>
      </c>
      <c r="G30" s="85">
        <f>SUM(G31:G36)+14.4</f>
        <v>14.4</v>
      </c>
      <c r="H30" s="14" t="s">
        <v>55</v>
      </c>
      <c r="I30" s="15" t="s">
        <v>22</v>
      </c>
      <c r="J30" s="15">
        <v>1</v>
      </c>
      <c r="K30" s="15">
        <v>1</v>
      </c>
      <c r="L30" s="39">
        <v>1</v>
      </c>
    </row>
    <row r="31" spans="1:12" ht="27.6" x14ac:dyDescent="0.25">
      <c r="A31" s="122"/>
      <c r="B31" s="84"/>
      <c r="C31" s="125"/>
      <c r="D31" s="84"/>
      <c r="E31" s="86"/>
      <c r="F31" s="86"/>
      <c r="G31" s="86"/>
      <c r="H31" s="10" t="s">
        <v>56</v>
      </c>
      <c r="I31" s="11" t="s">
        <v>29</v>
      </c>
      <c r="J31" s="11">
        <v>100</v>
      </c>
      <c r="K31" s="11">
        <v>100</v>
      </c>
      <c r="L31" s="40">
        <v>100</v>
      </c>
    </row>
    <row r="32" spans="1:12" ht="41.4" x14ac:dyDescent="0.25">
      <c r="A32" s="122"/>
      <c r="B32" s="84"/>
      <c r="C32" s="125"/>
      <c r="D32" s="84"/>
      <c r="E32" s="86"/>
      <c r="F32" s="86"/>
      <c r="G32" s="86"/>
      <c r="H32" s="10" t="s">
        <v>57</v>
      </c>
      <c r="I32" s="11" t="s">
        <v>22</v>
      </c>
      <c r="J32" s="11">
        <v>2</v>
      </c>
      <c r="K32" s="11">
        <v>2</v>
      </c>
      <c r="L32" s="40">
        <v>3</v>
      </c>
    </row>
    <row r="33" spans="1:12" x14ac:dyDescent="0.25">
      <c r="A33" s="122"/>
      <c r="B33" s="84"/>
      <c r="C33" s="125"/>
      <c r="D33" s="84"/>
      <c r="E33" s="86"/>
      <c r="F33" s="86"/>
      <c r="G33" s="86"/>
      <c r="H33" s="10" t="s">
        <v>58</v>
      </c>
      <c r="I33" s="11" t="s">
        <v>22</v>
      </c>
      <c r="J33" s="11">
        <v>4</v>
      </c>
      <c r="K33" s="11">
        <v>4</v>
      </c>
      <c r="L33" s="40">
        <v>4</v>
      </c>
    </row>
    <row r="34" spans="1:12" ht="33" customHeight="1" x14ac:dyDescent="0.25">
      <c r="A34" s="122"/>
      <c r="B34" s="84"/>
      <c r="C34" s="125"/>
      <c r="D34" s="84"/>
      <c r="E34" s="86"/>
      <c r="F34" s="86"/>
      <c r="G34" s="86"/>
      <c r="H34" s="10" t="s">
        <v>59</v>
      </c>
      <c r="I34" s="11" t="s">
        <v>22</v>
      </c>
      <c r="J34" s="11">
        <v>1</v>
      </c>
      <c r="K34" s="11"/>
      <c r="L34" s="40"/>
    </row>
    <row r="35" spans="1:12" ht="41.4" x14ac:dyDescent="0.25">
      <c r="A35" s="122"/>
      <c r="B35" s="84"/>
      <c r="C35" s="125"/>
      <c r="D35" s="84"/>
      <c r="E35" s="86"/>
      <c r="F35" s="86"/>
      <c r="G35" s="86"/>
      <c r="H35" s="10" t="s">
        <v>60</v>
      </c>
      <c r="I35" s="11" t="s">
        <v>22</v>
      </c>
      <c r="J35" s="11">
        <v>1</v>
      </c>
      <c r="K35" s="11">
        <v>1</v>
      </c>
      <c r="L35" s="40">
        <v>1</v>
      </c>
    </row>
    <row r="36" spans="1:12" ht="42" thickBot="1" x14ac:dyDescent="0.3">
      <c r="A36" s="123"/>
      <c r="B36" s="78"/>
      <c r="C36" s="126"/>
      <c r="D36" s="78"/>
      <c r="E36" s="87"/>
      <c r="F36" s="87"/>
      <c r="G36" s="87"/>
      <c r="H36" s="10" t="s">
        <v>61</v>
      </c>
      <c r="I36" s="11" t="s">
        <v>22</v>
      </c>
      <c r="J36" s="11"/>
      <c r="K36" s="11">
        <v>1</v>
      </c>
      <c r="L36" s="40"/>
    </row>
    <row r="37" spans="1:12" ht="42" thickBot="1" x14ac:dyDescent="0.3">
      <c r="A37" s="12" t="s">
        <v>62</v>
      </c>
      <c r="B37" s="13" t="s">
        <v>63</v>
      </c>
      <c r="C37" s="13" t="s">
        <v>64</v>
      </c>
      <c r="D37" s="14"/>
      <c r="E37" s="33">
        <v>0</v>
      </c>
      <c r="F37" s="33">
        <v>0</v>
      </c>
      <c r="G37" s="33">
        <v>0</v>
      </c>
      <c r="H37" s="14" t="s">
        <v>65</v>
      </c>
      <c r="I37" s="15" t="s">
        <v>22</v>
      </c>
      <c r="J37" s="15">
        <v>6</v>
      </c>
      <c r="K37" s="15">
        <v>6</v>
      </c>
      <c r="L37" s="39">
        <v>6</v>
      </c>
    </row>
    <row r="38" spans="1:12" x14ac:dyDescent="0.25">
      <c r="A38" s="121" t="s">
        <v>66</v>
      </c>
      <c r="B38" s="83" t="s">
        <v>67</v>
      </c>
      <c r="C38" s="124" t="s">
        <v>68</v>
      </c>
      <c r="D38" s="14"/>
      <c r="E38" s="31">
        <f>SUM(E39:E40)</f>
        <v>925</v>
      </c>
      <c r="F38" s="31">
        <f>SUM(F39:F40)</f>
        <v>0</v>
      </c>
      <c r="G38" s="31">
        <f>SUM(G39:G40)</f>
        <v>0</v>
      </c>
      <c r="H38" s="14" t="s">
        <v>69</v>
      </c>
      <c r="I38" s="15" t="s">
        <v>22</v>
      </c>
      <c r="J38" s="41">
        <v>5231</v>
      </c>
      <c r="K38" s="15"/>
      <c r="L38" s="39"/>
    </row>
    <row r="39" spans="1:12" x14ac:dyDescent="0.25">
      <c r="A39" s="122"/>
      <c r="B39" s="84"/>
      <c r="C39" s="125"/>
      <c r="D39" s="10" t="s">
        <v>27</v>
      </c>
      <c r="E39" s="32">
        <v>675</v>
      </c>
      <c r="F39" s="32">
        <v>0</v>
      </c>
      <c r="G39" s="32">
        <v>0</v>
      </c>
      <c r="H39" s="10" t="s">
        <v>70</v>
      </c>
      <c r="I39" s="11" t="s">
        <v>22</v>
      </c>
      <c r="J39" s="42">
        <v>5231</v>
      </c>
      <c r="K39" s="11"/>
      <c r="L39" s="40"/>
    </row>
    <row r="40" spans="1:12" ht="14.4" thickBot="1" x14ac:dyDescent="0.3">
      <c r="A40" s="123"/>
      <c r="B40" s="78"/>
      <c r="C40" s="126"/>
      <c r="D40" s="10" t="s">
        <v>40</v>
      </c>
      <c r="E40" s="32">
        <v>250</v>
      </c>
      <c r="F40" s="32">
        <v>0</v>
      </c>
      <c r="G40" s="32">
        <v>0</v>
      </c>
      <c r="H40" s="10" t="s">
        <v>71</v>
      </c>
      <c r="I40" s="11" t="s">
        <v>22</v>
      </c>
      <c r="J40" s="11">
        <v>13</v>
      </c>
      <c r="K40" s="11"/>
      <c r="L40" s="40"/>
    </row>
    <row r="41" spans="1:12" ht="30.75" customHeight="1" thickBot="1" x14ac:dyDescent="0.3">
      <c r="A41" s="6" t="s">
        <v>72</v>
      </c>
      <c r="B41" s="111" t="s">
        <v>73</v>
      </c>
      <c r="C41" s="112"/>
      <c r="D41" s="113"/>
      <c r="E41" s="29">
        <f>E42+E46+E49+E50+E53</f>
        <v>524.1</v>
      </c>
      <c r="F41" s="29">
        <f>F42+F46+F49+F50+F53</f>
        <v>535.4</v>
      </c>
      <c r="G41" s="29">
        <f>G42+G46+G49+G50+G53</f>
        <v>557.70000000000005</v>
      </c>
      <c r="H41" s="7" t="s">
        <v>74</v>
      </c>
      <c r="I41" s="8" t="s">
        <v>29</v>
      </c>
      <c r="J41" s="8"/>
      <c r="K41" s="8">
        <v>48</v>
      </c>
      <c r="L41" s="43"/>
    </row>
    <row r="42" spans="1:12" x14ac:dyDescent="0.25">
      <c r="A42" s="121" t="s">
        <v>75</v>
      </c>
      <c r="B42" s="83" t="s">
        <v>76</v>
      </c>
      <c r="C42" s="124" t="s">
        <v>77</v>
      </c>
      <c r="D42" s="14"/>
      <c r="E42" s="31">
        <f>SUM(E43:E45)</f>
        <v>123.6</v>
      </c>
      <c r="F42" s="31">
        <f>SUM(F43:F45)</f>
        <v>123.6</v>
      </c>
      <c r="G42" s="31">
        <f>SUM(G43:G45)</f>
        <v>123.6</v>
      </c>
      <c r="H42" s="14" t="s">
        <v>78</v>
      </c>
      <c r="I42" s="15" t="s">
        <v>22</v>
      </c>
      <c r="J42" s="15">
        <v>12</v>
      </c>
      <c r="K42" s="15">
        <v>12</v>
      </c>
      <c r="L42" s="39">
        <v>12</v>
      </c>
    </row>
    <row r="43" spans="1:12" ht="24" customHeight="1" x14ac:dyDescent="0.25">
      <c r="A43" s="122"/>
      <c r="B43" s="84"/>
      <c r="C43" s="125"/>
      <c r="D43" s="10" t="s">
        <v>40</v>
      </c>
      <c r="E43" s="32">
        <v>50</v>
      </c>
      <c r="F43" s="32">
        <v>50</v>
      </c>
      <c r="G43" s="32">
        <v>50</v>
      </c>
      <c r="H43" s="10" t="s">
        <v>79</v>
      </c>
      <c r="I43" s="11" t="s">
        <v>22</v>
      </c>
      <c r="J43" s="11">
        <v>11</v>
      </c>
      <c r="K43" s="11">
        <v>12</v>
      </c>
      <c r="L43" s="40">
        <v>12</v>
      </c>
    </row>
    <row r="44" spans="1:12" x14ac:dyDescent="0.25">
      <c r="A44" s="122"/>
      <c r="B44" s="84"/>
      <c r="C44" s="125"/>
      <c r="D44" s="77" t="s">
        <v>27</v>
      </c>
      <c r="E44" s="108">
        <v>73.599999999999994</v>
      </c>
      <c r="F44" s="108">
        <v>73.599999999999994</v>
      </c>
      <c r="G44" s="108">
        <v>73.599999999999994</v>
      </c>
      <c r="H44" s="10" t="s">
        <v>80</v>
      </c>
      <c r="I44" s="11" t="s">
        <v>22</v>
      </c>
      <c r="J44" s="11">
        <v>11</v>
      </c>
      <c r="K44" s="11">
        <v>12</v>
      </c>
      <c r="L44" s="40">
        <v>12</v>
      </c>
    </row>
    <row r="45" spans="1:12" ht="42" thickBot="1" x14ac:dyDescent="0.3">
      <c r="A45" s="123"/>
      <c r="B45" s="78"/>
      <c r="C45" s="126"/>
      <c r="D45" s="78"/>
      <c r="E45" s="110"/>
      <c r="F45" s="110"/>
      <c r="G45" s="110"/>
      <c r="H45" s="10" t="s">
        <v>81</v>
      </c>
      <c r="I45" s="11" t="s">
        <v>22</v>
      </c>
      <c r="J45" s="11">
        <v>3</v>
      </c>
      <c r="K45" s="11">
        <v>4</v>
      </c>
      <c r="L45" s="40">
        <v>4</v>
      </c>
    </row>
    <row r="46" spans="1:12" x14ac:dyDescent="0.25">
      <c r="A46" s="121" t="s">
        <v>82</v>
      </c>
      <c r="B46" s="83" t="s">
        <v>83</v>
      </c>
      <c r="C46" s="124" t="s">
        <v>77</v>
      </c>
      <c r="D46" s="83" t="s">
        <v>40</v>
      </c>
      <c r="E46" s="85">
        <f>SUM(E47:E48)+50</f>
        <v>50</v>
      </c>
      <c r="F46" s="85">
        <f>SUM(F47:F48)+50</f>
        <v>50</v>
      </c>
      <c r="G46" s="85">
        <f>SUM(G47:G48)+50</f>
        <v>50</v>
      </c>
      <c r="H46" s="14" t="s">
        <v>79</v>
      </c>
      <c r="I46" s="15" t="s">
        <v>22</v>
      </c>
      <c r="J46" s="15">
        <v>18</v>
      </c>
      <c r="K46" s="15">
        <v>19</v>
      </c>
      <c r="L46" s="39">
        <v>19</v>
      </c>
    </row>
    <row r="47" spans="1:12" x14ac:dyDescent="0.25">
      <c r="A47" s="122"/>
      <c r="B47" s="84"/>
      <c r="C47" s="125"/>
      <c r="D47" s="84"/>
      <c r="E47" s="86"/>
      <c r="F47" s="86"/>
      <c r="G47" s="86"/>
      <c r="H47" s="10" t="s">
        <v>84</v>
      </c>
      <c r="I47" s="11" t="s">
        <v>22</v>
      </c>
      <c r="J47" s="11">
        <v>1</v>
      </c>
      <c r="K47" s="11">
        <v>1</v>
      </c>
      <c r="L47" s="40">
        <v>1</v>
      </c>
    </row>
    <row r="48" spans="1:12" ht="55.8" thickBot="1" x14ac:dyDescent="0.3">
      <c r="A48" s="123"/>
      <c r="B48" s="78"/>
      <c r="C48" s="126"/>
      <c r="D48" s="78"/>
      <c r="E48" s="87"/>
      <c r="F48" s="87"/>
      <c r="G48" s="87"/>
      <c r="H48" s="10" t="s">
        <v>85</v>
      </c>
      <c r="I48" s="11" t="s">
        <v>22</v>
      </c>
      <c r="J48" s="11">
        <v>1</v>
      </c>
      <c r="K48" s="11">
        <v>1</v>
      </c>
      <c r="L48" s="40">
        <v>1</v>
      </c>
    </row>
    <row r="49" spans="1:12" ht="42" thickBot="1" x14ac:dyDescent="0.3">
      <c r="A49" s="12" t="s">
        <v>86</v>
      </c>
      <c r="B49" s="13" t="s">
        <v>87</v>
      </c>
      <c r="C49" s="13" t="s">
        <v>88</v>
      </c>
      <c r="D49" s="14" t="s">
        <v>40</v>
      </c>
      <c r="E49" s="33">
        <v>17</v>
      </c>
      <c r="F49" s="33">
        <v>23.3</v>
      </c>
      <c r="G49" s="33">
        <v>40.1</v>
      </c>
      <c r="H49" s="14" t="s">
        <v>89</v>
      </c>
      <c r="I49" s="15" t="s">
        <v>29</v>
      </c>
      <c r="J49" s="15">
        <v>45</v>
      </c>
      <c r="K49" s="15">
        <v>74</v>
      </c>
      <c r="L49" s="39">
        <v>90</v>
      </c>
    </row>
    <row r="50" spans="1:12" ht="46.5" customHeight="1" x14ac:dyDescent="0.25">
      <c r="A50" s="121" t="s">
        <v>90</v>
      </c>
      <c r="B50" s="83" t="s">
        <v>91</v>
      </c>
      <c r="C50" s="124" t="s">
        <v>92</v>
      </c>
      <c r="D50" s="83" t="s">
        <v>40</v>
      </c>
      <c r="E50" s="85">
        <f>SUM(E51:E52)+280</f>
        <v>280</v>
      </c>
      <c r="F50" s="85">
        <f>SUM(F51:F52)+280</f>
        <v>280</v>
      </c>
      <c r="G50" s="85">
        <f>SUM(G51:G52)+280</f>
        <v>280</v>
      </c>
      <c r="H50" s="14" t="s">
        <v>93</v>
      </c>
      <c r="I50" s="15" t="s">
        <v>22</v>
      </c>
      <c r="J50" s="15">
        <v>3</v>
      </c>
      <c r="K50" s="15">
        <v>3</v>
      </c>
      <c r="L50" s="39">
        <v>3</v>
      </c>
    </row>
    <row r="51" spans="1:12" x14ac:dyDescent="0.25">
      <c r="A51" s="122"/>
      <c r="B51" s="84"/>
      <c r="C51" s="125"/>
      <c r="D51" s="84"/>
      <c r="E51" s="86"/>
      <c r="F51" s="86"/>
      <c r="G51" s="86"/>
      <c r="H51" s="10" t="s">
        <v>94</v>
      </c>
      <c r="I51" s="11" t="s">
        <v>22</v>
      </c>
      <c r="J51" s="11">
        <v>2</v>
      </c>
      <c r="K51" s="11">
        <v>2</v>
      </c>
      <c r="L51" s="40">
        <v>2</v>
      </c>
    </row>
    <row r="52" spans="1:12" ht="28.2" thickBot="1" x14ac:dyDescent="0.3">
      <c r="A52" s="123"/>
      <c r="B52" s="78"/>
      <c r="C52" s="126"/>
      <c r="D52" s="78"/>
      <c r="E52" s="87"/>
      <c r="F52" s="87"/>
      <c r="G52" s="87"/>
      <c r="H52" s="10" t="s">
        <v>95</v>
      </c>
      <c r="I52" s="11" t="s">
        <v>22</v>
      </c>
      <c r="J52" s="42">
        <v>8000</v>
      </c>
      <c r="K52" s="42">
        <v>8500</v>
      </c>
      <c r="L52" s="44">
        <v>6000</v>
      </c>
    </row>
    <row r="53" spans="1:12" ht="28.2" thickBot="1" x14ac:dyDescent="0.3">
      <c r="A53" s="12" t="s">
        <v>96</v>
      </c>
      <c r="B53" s="13" t="s">
        <v>97</v>
      </c>
      <c r="C53" s="13" t="s">
        <v>98</v>
      </c>
      <c r="D53" s="14" t="s">
        <v>40</v>
      </c>
      <c r="E53" s="33">
        <v>53.5</v>
      </c>
      <c r="F53" s="33">
        <v>58.5</v>
      </c>
      <c r="G53" s="33">
        <v>64</v>
      </c>
      <c r="H53" s="14" t="s">
        <v>99</v>
      </c>
      <c r="I53" s="15" t="s">
        <v>22</v>
      </c>
      <c r="J53" s="15">
        <v>37</v>
      </c>
      <c r="K53" s="15">
        <v>37</v>
      </c>
      <c r="L53" s="39">
        <v>37</v>
      </c>
    </row>
    <row r="54" spans="1:12" ht="27.6" x14ac:dyDescent="0.25">
      <c r="A54" s="127" t="s">
        <v>100</v>
      </c>
      <c r="B54" s="129" t="s">
        <v>101</v>
      </c>
      <c r="C54" s="130"/>
      <c r="D54" s="131"/>
      <c r="E54" s="88">
        <f>E55+E56+E65+E66+E69+E71+E77+E78</f>
        <v>16614.400000000001</v>
      </c>
      <c r="F54" s="88">
        <f>F55+F56+F65+F66+F69+F71+F77+F78</f>
        <v>17046.5</v>
      </c>
      <c r="G54" s="88">
        <f>G55+G56+G65+G66+G69+G71+G77+G78</f>
        <v>17485.600000000002</v>
      </c>
      <c r="H54" s="7" t="s">
        <v>102</v>
      </c>
      <c r="I54" s="8" t="s">
        <v>22</v>
      </c>
      <c r="J54" s="8">
        <v>298</v>
      </c>
      <c r="K54" s="8">
        <v>300</v>
      </c>
      <c r="L54" s="43">
        <v>302</v>
      </c>
    </row>
    <row r="55" spans="1:12" ht="28.2" thickBot="1" x14ac:dyDescent="0.3">
      <c r="A55" s="128"/>
      <c r="B55" s="132"/>
      <c r="C55" s="133"/>
      <c r="D55" s="134"/>
      <c r="E55" s="90"/>
      <c r="F55" s="90"/>
      <c r="G55" s="90"/>
      <c r="H55" s="22" t="s">
        <v>103</v>
      </c>
      <c r="I55" s="23" t="s">
        <v>22</v>
      </c>
      <c r="J55" s="23">
        <v>2.5</v>
      </c>
      <c r="K55" s="23">
        <v>2.5</v>
      </c>
      <c r="L55" s="38">
        <v>2.5</v>
      </c>
    </row>
    <row r="56" spans="1:12" x14ac:dyDescent="0.25">
      <c r="A56" s="121" t="s">
        <v>104</v>
      </c>
      <c r="B56" s="83" t="s">
        <v>105</v>
      </c>
      <c r="C56" s="124" t="s">
        <v>106</v>
      </c>
      <c r="D56" s="14"/>
      <c r="E56" s="31">
        <f>SUM(E57:E64)</f>
        <v>12454.1</v>
      </c>
      <c r="F56" s="31">
        <f>SUM(F57:F64)</f>
        <v>12762.2</v>
      </c>
      <c r="G56" s="31">
        <f>SUM(G57:G64)</f>
        <v>13072.5</v>
      </c>
      <c r="H56" s="14" t="s">
        <v>107</v>
      </c>
      <c r="I56" s="15" t="s">
        <v>22</v>
      </c>
      <c r="J56" s="15">
        <v>6</v>
      </c>
      <c r="K56" s="15">
        <v>3</v>
      </c>
      <c r="L56" s="39">
        <v>6</v>
      </c>
    </row>
    <row r="57" spans="1:12" x14ac:dyDescent="0.25">
      <c r="A57" s="122"/>
      <c r="B57" s="84"/>
      <c r="C57" s="125"/>
      <c r="D57" s="10" t="s">
        <v>108</v>
      </c>
      <c r="E57" s="32">
        <v>1</v>
      </c>
      <c r="F57" s="32">
        <v>1</v>
      </c>
      <c r="G57" s="32">
        <v>1</v>
      </c>
      <c r="H57" s="10" t="s">
        <v>109</v>
      </c>
      <c r="I57" s="11" t="s">
        <v>22</v>
      </c>
      <c r="J57" s="11">
        <v>2</v>
      </c>
      <c r="K57" s="11">
        <v>3</v>
      </c>
      <c r="L57" s="40">
        <v>2</v>
      </c>
    </row>
    <row r="58" spans="1:12" x14ac:dyDescent="0.25">
      <c r="A58" s="122"/>
      <c r="B58" s="84"/>
      <c r="C58" s="125"/>
      <c r="D58" s="10" t="s">
        <v>40</v>
      </c>
      <c r="E58" s="32">
        <v>12450</v>
      </c>
      <c r="F58" s="32">
        <v>12761.2</v>
      </c>
      <c r="G58" s="32">
        <v>13071.5</v>
      </c>
      <c r="H58" s="10" t="s">
        <v>110</v>
      </c>
      <c r="I58" s="11" t="s">
        <v>22</v>
      </c>
      <c r="J58" s="11">
        <v>400</v>
      </c>
      <c r="K58" s="11">
        <v>420</v>
      </c>
      <c r="L58" s="40">
        <v>380</v>
      </c>
    </row>
    <row r="59" spans="1:12" x14ac:dyDescent="0.25">
      <c r="A59" s="122"/>
      <c r="B59" s="84"/>
      <c r="C59" s="125"/>
      <c r="D59" s="77" t="s">
        <v>30</v>
      </c>
      <c r="E59" s="108">
        <v>3.1</v>
      </c>
      <c r="F59" s="108">
        <v>0</v>
      </c>
      <c r="G59" s="108">
        <v>0</v>
      </c>
      <c r="H59" s="10" t="s">
        <v>111</v>
      </c>
      <c r="I59" s="11" t="s">
        <v>22</v>
      </c>
      <c r="J59" s="11">
        <v>217</v>
      </c>
      <c r="K59" s="11">
        <v>216</v>
      </c>
      <c r="L59" s="40">
        <v>215</v>
      </c>
    </row>
    <row r="60" spans="1:12" ht="27.6" x14ac:dyDescent="0.25">
      <c r="A60" s="122"/>
      <c r="B60" s="84"/>
      <c r="C60" s="125"/>
      <c r="D60" s="84"/>
      <c r="E60" s="109"/>
      <c r="F60" s="109"/>
      <c r="G60" s="109"/>
      <c r="H60" s="10" t="s">
        <v>112</v>
      </c>
      <c r="I60" s="11" t="s">
        <v>22</v>
      </c>
      <c r="J60" s="11">
        <v>81</v>
      </c>
      <c r="K60" s="11">
        <v>84</v>
      </c>
      <c r="L60" s="40">
        <v>87</v>
      </c>
    </row>
    <row r="61" spans="1:12" ht="16.5" customHeight="1" x14ac:dyDescent="0.25">
      <c r="A61" s="122"/>
      <c r="B61" s="84"/>
      <c r="C61" s="125"/>
      <c r="D61" s="84"/>
      <c r="E61" s="109"/>
      <c r="F61" s="109"/>
      <c r="G61" s="109"/>
      <c r="H61" s="10" t="s">
        <v>113</v>
      </c>
      <c r="I61" s="11" t="s">
        <v>29</v>
      </c>
      <c r="J61" s="11">
        <v>100</v>
      </c>
      <c r="K61" s="11">
        <v>100</v>
      </c>
      <c r="L61" s="40">
        <v>100</v>
      </c>
    </row>
    <row r="62" spans="1:12" x14ac:dyDescent="0.25">
      <c r="A62" s="122"/>
      <c r="B62" s="84"/>
      <c r="C62" s="125"/>
      <c r="D62" s="84"/>
      <c r="E62" s="109"/>
      <c r="F62" s="109"/>
      <c r="G62" s="109"/>
      <c r="H62" s="10" t="s">
        <v>114</v>
      </c>
      <c r="I62" s="11" t="s">
        <v>22</v>
      </c>
      <c r="J62" s="11">
        <v>60</v>
      </c>
      <c r="K62" s="11">
        <v>60</v>
      </c>
      <c r="L62" s="40">
        <v>60</v>
      </c>
    </row>
    <row r="63" spans="1:12" x14ac:dyDescent="0.25">
      <c r="A63" s="122"/>
      <c r="B63" s="84"/>
      <c r="C63" s="125"/>
      <c r="D63" s="84"/>
      <c r="E63" s="109"/>
      <c r="F63" s="109"/>
      <c r="G63" s="109"/>
      <c r="H63" s="10" t="s">
        <v>115</v>
      </c>
      <c r="I63" s="11" t="s">
        <v>22</v>
      </c>
      <c r="J63" s="11">
        <v>340</v>
      </c>
      <c r="K63" s="11">
        <v>340</v>
      </c>
      <c r="L63" s="40">
        <v>340</v>
      </c>
    </row>
    <row r="64" spans="1:12" ht="28.2" thickBot="1" x14ac:dyDescent="0.3">
      <c r="A64" s="123"/>
      <c r="B64" s="78"/>
      <c r="C64" s="126"/>
      <c r="D64" s="78"/>
      <c r="E64" s="110"/>
      <c r="F64" s="110"/>
      <c r="G64" s="110"/>
      <c r="H64" s="10" t="s">
        <v>116</v>
      </c>
      <c r="I64" s="11" t="s">
        <v>22</v>
      </c>
      <c r="J64" s="11">
        <v>2</v>
      </c>
      <c r="K64" s="11">
        <v>2</v>
      </c>
      <c r="L64" s="40">
        <v>2</v>
      </c>
    </row>
    <row r="65" spans="1:12" ht="42" thickBot="1" x14ac:dyDescent="0.3">
      <c r="A65" s="12" t="s">
        <v>117</v>
      </c>
      <c r="B65" s="13" t="s">
        <v>118</v>
      </c>
      <c r="C65" s="13" t="s">
        <v>119</v>
      </c>
      <c r="D65" s="14" t="s">
        <v>40</v>
      </c>
      <c r="E65" s="33">
        <v>39.9</v>
      </c>
      <c r="F65" s="33">
        <v>41.8</v>
      </c>
      <c r="G65" s="33">
        <v>46</v>
      </c>
      <c r="H65" s="14" t="s">
        <v>120</v>
      </c>
      <c r="I65" s="15" t="s">
        <v>22</v>
      </c>
      <c r="J65" s="15">
        <v>300</v>
      </c>
      <c r="K65" s="15">
        <v>300</v>
      </c>
      <c r="L65" s="39">
        <v>300</v>
      </c>
    </row>
    <row r="66" spans="1:12" ht="27.6" x14ac:dyDescent="0.25">
      <c r="A66" s="121" t="s">
        <v>121</v>
      </c>
      <c r="B66" s="83" t="s">
        <v>122</v>
      </c>
      <c r="C66" s="124" t="s">
        <v>123</v>
      </c>
      <c r="D66" s="83" t="s">
        <v>40</v>
      </c>
      <c r="E66" s="85">
        <f>SUM(E67:E68)+1220.6</f>
        <v>1220.5999999999999</v>
      </c>
      <c r="F66" s="85">
        <f>SUM(F67:F68)+1251.1</f>
        <v>1251.0999999999999</v>
      </c>
      <c r="G66" s="85">
        <f>SUM(G67:G68)+1281.6</f>
        <v>1281.5999999999999</v>
      </c>
      <c r="H66" s="14" t="s">
        <v>124</v>
      </c>
      <c r="I66" s="15" t="s">
        <v>29</v>
      </c>
      <c r="J66" s="15">
        <v>100</v>
      </c>
      <c r="K66" s="15">
        <v>100</v>
      </c>
      <c r="L66" s="39">
        <v>100</v>
      </c>
    </row>
    <row r="67" spans="1:12" ht="27.6" x14ac:dyDescent="0.25">
      <c r="A67" s="122"/>
      <c r="B67" s="84"/>
      <c r="C67" s="125"/>
      <c r="D67" s="84"/>
      <c r="E67" s="86"/>
      <c r="F67" s="86"/>
      <c r="G67" s="86"/>
      <c r="H67" s="10" t="s">
        <v>125</v>
      </c>
      <c r="I67" s="11" t="s">
        <v>29</v>
      </c>
      <c r="J67" s="11">
        <v>100</v>
      </c>
      <c r="K67" s="11">
        <v>100</v>
      </c>
      <c r="L67" s="40">
        <v>100</v>
      </c>
    </row>
    <row r="68" spans="1:12" ht="28.2" thickBot="1" x14ac:dyDescent="0.3">
      <c r="A68" s="123"/>
      <c r="B68" s="78"/>
      <c r="C68" s="126"/>
      <c r="D68" s="78"/>
      <c r="E68" s="87"/>
      <c r="F68" s="87"/>
      <c r="G68" s="87"/>
      <c r="H68" s="10" t="s">
        <v>126</v>
      </c>
      <c r="I68" s="11" t="s">
        <v>22</v>
      </c>
      <c r="J68" s="11">
        <v>11</v>
      </c>
      <c r="K68" s="11">
        <v>11</v>
      </c>
      <c r="L68" s="40">
        <v>11</v>
      </c>
    </row>
    <row r="69" spans="1:12" ht="23.25" customHeight="1" x14ac:dyDescent="0.25">
      <c r="A69" s="121" t="s">
        <v>127</v>
      </c>
      <c r="B69" s="83" t="s">
        <v>128</v>
      </c>
      <c r="C69" s="124" t="s">
        <v>129</v>
      </c>
      <c r="D69" s="83" t="s">
        <v>40</v>
      </c>
      <c r="E69" s="85">
        <f>SUM(E70:E70)+417.9</f>
        <v>417.9</v>
      </c>
      <c r="F69" s="85">
        <f>SUM(F70:F70)+428.3</f>
        <v>428.3</v>
      </c>
      <c r="G69" s="85">
        <f>SUM(G70:G70)+438.8</f>
        <v>438.8</v>
      </c>
      <c r="H69" s="14" t="s">
        <v>130</v>
      </c>
      <c r="I69" s="15" t="s">
        <v>22</v>
      </c>
      <c r="J69" s="15">
        <v>5</v>
      </c>
      <c r="K69" s="15">
        <v>5</v>
      </c>
      <c r="L69" s="39">
        <v>5</v>
      </c>
    </row>
    <row r="70" spans="1:12" ht="26.25" customHeight="1" thickBot="1" x14ac:dyDescent="0.3">
      <c r="A70" s="123"/>
      <c r="B70" s="78"/>
      <c r="C70" s="126"/>
      <c r="D70" s="78"/>
      <c r="E70" s="87"/>
      <c r="F70" s="87"/>
      <c r="G70" s="87"/>
      <c r="H70" s="10" t="s">
        <v>131</v>
      </c>
      <c r="I70" s="11" t="s">
        <v>22</v>
      </c>
      <c r="J70" s="11">
        <v>10</v>
      </c>
      <c r="K70" s="11">
        <v>10</v>
      </c>
      <c r="L70" s="40">
        <v>10</v>
      </c>
    </row>
    <row r="71" spans="1:12" ht="27.6" x14ac:dyDescent="0.25">
      <c r="A71" s="121" t="s">
        <v>132</v>
      </c>
      <c r="B71" s="83" t="s">
        <v>133</v>
      </c>
      <c r="C71" s="124" t="s">
        <v>134</v>
      </c>
      <c r="D71" s="83" t="s">
        <v>40</v>
      </c>
      <c r="E71" s="85">
        <f>SUM(E72:E76)+1996.7</f>
        <v>1996.7</v>
      </c>
      <c r="F71" s="85">
        <f>SUM(F72:F76)+2046.6</f>
        <v>2046.6</v>
      </c>
      <c r="G71" s="85">
        <f>SUM(G72:G76)+2096.5</f>
        <v>2096.5</v>
      </c>
      <c r="H71" s="14" t="s">
        <v>135</v>
      </c>
      <c r="I71" s="15" t="s">
        <v>29</v>
      </c>
      <c r="J71" s="15">
        <v>100</v>
      </c>
      <c r="K71" s="15">
        <v>100</v>
      </c>
      <c r="L71" s="39">
        <v>100</v>
      </c>
    </row>
    <row r="72" spans="1:12" ht="27.6" x14ac:dyDescent="0.25">
      <c r="A72" s="122"/>
      <c r="B72" s="84"/>
      <c r="C72" s="125"/>
      <c r="D72" s="84"/>
      <c r="E72" s="86"/>
      <c r="F72" s="86"/>
      <c r="G72" s="86"/>
      <c r="H72" s="10" t="s">
        <v>136</v>
      </c>
      <c r="I72" s="11" t="s">
        <v>29</v>
      </c>
      <c r="J72" s="11">
        <v>100</v>
      </c>
      <c r="K72" s="11">
        <v>100</v>
      </c>
      <c r="L72" s="40">
        <v>100</v>
      </c>
    </row>
    <row r="73" spans="1:12" ht="27.6" x14ac:dyDescent="0.25">
      <c r="A73" s="122"/>
      <c r="B73" s="84"/>
      <c r="C73" s="125"/>
      <c r="D73" s="84"/>
      <c r="E73" s="86"/>
      <c r="F73" s="86"/>
      <c r="G73" s="86"/>
      <c r="H73" s="10" t="s">
        <v>137</v>
      </c>
      <c r="I73" s="11" t="s">
        <v>29</v>
      </c>
      <c r="J73" s="11">
        <v>2</v>
      </c>
      <c r="K73" s="11"/>
      <c r="L73" s="40"/>
    </row>
    <row r="74" spans="1:12" ht="27.6" x14ac:dyDescent="0.25">
      <c r="A74" s="122"/>
      <c r="B74" s="84"/>
      <c r="C74" s="125"/>
      <c r="D74" s="84"/>
      <c r="E74" s="86"/>
      <c r="F74" s="86"/>
      <c r="G74" s="86"/>
      <c r="H74" s="10" t="s">
        <v>138</v>
      </c>
      <c r="I74" s="11" t="s">
        <v>29</v>
      </c>
      <c r="J74" s="11">
        <v>25</v>
      </c>
      <c r="K74" s="11">
        <v>30</v>
      </c>
      <c r="L74" s="40">
        <v>40</v>
      </c>
    </row>
    <row r="75" spans="1:12" ht="27.6" x14ac:dyDescent="0.25">
      <c r="A75" s="122"/>
      <c r="B75" s="84"/>
      <c r="C75" s="125"/>
      <c r="D75" s="84"/>
      <c r="E75" s="86"/>
      <c r="F75" s="86"/>
      <c r="G75" s="86"/>
      <c r="H75" s="10" t="s">
        <v>139</v>
      </c>
      <c r="I75" s="11" t="s">
        <v>29</v>
      </c>
      <c r="J75" s="11">
        <v>8</v>
      </c>
      <c r="K75" s="11">
        <v>10</v>
      </c>
      <c r="L75" s="40">
        <v>12</v>
      </c>
    </row>
    <row r="76" spans="1:12" ht="28.2" thickBot="1" x14ac:dyDescent="0.3">
      <c r="A76" s="123"/>
      <c r="B76" s="78"/>
      <c r="C76" s="126"/>
      <c r="D76" s="78"/>
      <c r="E76" s="87"/>
      <c r="F76" s="87"/>
      <c r="G76" s="87"/>
      <c r="H76" s="10" t="s">
        <v>140</v>
      </c>
      <c r="I76" s="11" t="s">
        <v>29</v>
      </c>
      <c r="J76" s="11">
        <v>60</v>
      </c>
      <c r="K76" s="11">
        <v>65</v>
      </c>
      <c r="L76" s="40">
        <v>70</v>
      </c>
    </row>
    <row r="77" spans="1:12" ht="28.2" thickBot="1" x14ac:dyDescent="0.3">
      <c r="A77" s="12" t="s">
        <v>141</v>
      </c>
      <c r="B77" s="13" t="s">
        <v>142</v>
      </c>
      <c r="C77" s="13" t="s">
        <v>143</v>
      </c>
      <c r="D77" s="14" t="s">
        <v>40</v>
      </c>
      <c r="E77" s="33">
        <v>96.7</v>
      </c>
      <c r="F77" s="33">
        <v>106.4</v>
      </c>
      <c r="G77" s="33">
        <v>117</v>
      </c>
      <c r="H77" s="14" t="s">
        <v>144</v>
      </c>
      <c r="I77" s="15" t="s">
        <v>29</v>
      </c>
      <c r="J77" s="15">
        <v>100</v>
      </c>
      <c r="K77" s="15">
        <v>100</v>
      </c>
      <c r="L77" s="39">
        <v>100</v>
      </c>
    </row>
    <row r="78" spans="1:12" ht="28.2" thickBot="1" x14ac:dyDescent="0.3">
      <c r="A78" s="12" t="s">
        <v>145</v>
      </c>
      <c r="B78" s="13" t="s">
        <v>146</v>
      </c>
      <c r="C78" s="13" t="s">
        <v>147</v>
      </c>
      <c r="D78" s="14" t="s">
        <v>40</v>
      </c>
      <c r="E78" s="33">
        <v>388.5</v>
      </c>
      <c r="F78" s="33">
        <v>410.1</v>
      </c>
      <c r="G78" s="33">
        <v>433.2</v>
      </c>
      <c r="H78" s="14" t="s">
        <v>148</v>
      </c>
      <c r="I78" s="15" t="s">
        <v>29</v>
      </c>
      <c r="J78" s="15">
        <v>100</v>
      </c>
      <c r="K78" s="15">
        <v>100</v>
      </c>
      <c r="L78" s="39">
        <v>100</v>
      </c>
    </row>
    <row r="79" spans="1:12" ht="30.75" customHeight="1" thickBot="1" x14ac:dyDescent="0.3">
      <c r="A79" s="6" t="s">
        <v>149</v>
      </c>
      <c r="B79" s="111" t="s">
        <v>150</v>
      </c>
      <c r="C79" s="112"/>
      <c r="D79" s="113"/>
      <c r="E79" s="29">
        <f>E80+E81+E82+E83+E84+E85+E86+E87+E88+E89+E90+E91+E92+E93+E94+E97+E98+E100+E101+E102+E103</f>
        <v>796.09999999999991</v>
      </c>
      <c r="F79" s="29">
        <f>F80+F81+F82+F83+F84+F85+F86+F87+F88+F89+F90+F91+F92+F93+F94+F97+F98+F100+F101+F102+F103</f>
        <v>796.09999999999991</v>
      </c>
      <c r="G79" s="29">
        <f>G80+G81+G82+G83+G84+G85+G86+G87+G88+G89+G90+G91+G92+G93+G94+G97+G98+G100+G101+G102+G103</f>
        <v>796.09999999999991</v>
      </c>
      <c r="H79" s="7" t="s">
        <v>151</v>
      </c>
      <c r="I79" s="8" t="s">
        <v>22</v>
      </c>
      <c r="J79" s="8">
        <v>21</v>
      </c>
      <c r="K79" s="8">
        <v>21</v>
      </c>
      <c r="L79" s="43">
        <v>21</v>
      </c>
    </row>
    <row r="80" spans="1:12" ht="14.4" thickBot="1" x14ac:dyDescent="0.3">
      <c r="A80" s="12" t="s">
        <v>152</v>
      </c>
      <c r="B80" s="13" t="s">
        <v>153</v>
      </c>
      <c r="C80" s="13" t="s">
        <v>64</v>
      </c>
      <c r="D80" s="14" t="s">
        <v>154</v>
      </c>
      <c r="E80" s="33">
        <v>11.7</v>
      </c>
      <c r="F80" s="33">
        <v>11.7</v>
      </c>
      <c r="G80" s="33">
        <v>11.7</v>
      </c>
      <c r="H80" s="14" t="s">
        <v>155</v>
      </c>
      <c r="I80" s="15" t="s">
        <v>29</v>
      </c>
      <c r="J80" s="15">
        <v>100</v>
      </c>
      <c r="K80" s="15">
        <v>100</v>
      </c>
      <c r="L80" s="39">
        <v>100</v>
      </c>
    </row>
    <row r="81" spans="1:12" x14ac:dyDescent="0.25">
      <c r="A81" s="12" t="s">
        <v>156</v>
      </c>
      <c r="B81" s="13" t="s">
        <v>157</v>
      </c>
      <c r="C81" s="13" t="s">
        <v>134</v>
      </c>
      <c r="D81" s="14" t="s">
        <v>154</v>
      </c>
      <c r="E81" s="33">
        <v>0.8</v>
      </c>
      <c r="F81" s="33">
        <v>0.8</v>
      </c>
      <c r="G81" s="33">
        <v>0.8</v>
      </c>
      <c r="H81" s="14" t="s">
        <v>155</v>
      </c>
      <c r="I81" s="15" t="s">
        <v>29</v>
      </c>
      <c r="J81" s="15">
        <v>100</v>
      </c>
      <c r="K81" s="15">
        <v>100</v>
      </c>
      <c r="L81" s="39">
        <v>100</v>
      </c>
    </row>
    <row r="82" spans="1:12" x14ac:dyDescent="0.25">
      <c r="A82" s="12" t="s">
        <v>158</v>
      </c>
      <c r="B82" s="13" t="s">
        <v>159</v>
      </c>
      <c r="C82" s="13" t="s">
        <v>160</v>
      </c>
      <c r="D82" s="14" t="s">
        <v>154</v>
      </c>
      <c r="E82" s="33">
        <v>41.5</v>
      </c>
      <c r="F82" s="33">
        <v>41.5</v>
      </c>
      <c r="G82" s="33">
        <v>41.5</v>
      </c>
      <c r="H82" s="14" t="s">
        <v>155</v>
      </c>
      <c r="I82" s="15" t="s">
        <v>29</v>
      </c>
      <c r="J82" s="15">
        <v>100</v>
      </c>
      <c r="K82" s="15">
        <v>100</v>
      </c>
      <c r="L82" s="39">
        <v>100</v>
      </c>
    </row>
    <row r="83" spans="1:12" x14ac:dyDescent="0.25">
      <c r="A83" s="12" t="s">
        <v>161</v>
      </c>
      <c r="B83" s="13" t="s">
        <v>162</v>
      </c>
      <c r="C83" s="13" t="s">
        <v>163</v>
      </c>
      <c r="D83" s="14" t="s">
        <v>154</v>
      </c>
      <c r="E83" s="33">
        <v>59</v>
      </c>
      <c r="F83" s="33">
        <v>59</v>
      </c>
      <c r="G83" s="33">
        <v>59</v>
      </c>
      <c r="H83" s="14" t="s">
        <v>155</v>
      </c>
      <c r="I83" s="15" t="s">
        <v>29</v>
      </c>
      <c r="J83" s="15">
        <v>100</v>
      </c>
      <c r="K83" s="15">
        <v>100</v>
      </c>
      <c r="L83" s="39">
        <v>100</v>
      </c>
    </row>
    <row r="84" spans="1:12" x14ac:dyDescent="0.25">
      <c r="A84" s="12" t="s">
        <v>164</v>
      </c>
      <c r="B84" s="13" t="s">
        <v>165</v>
      </c>
      <c r="C84" s="13" t="s">
        <v>163</v>
      </c>
      <c r="D84" s="14" t="s">
        <v>154</v>
      </c>
      <c r="E84" s="33">
        <v>2</v>
      </c>
      <c r="F84" s="33">
        <v>2</v>
      </c>
      <c r="G84" s="33">
        <v>2</v>
      </c>
      <c r="H84" s="14" t="s">
        <v>155</v>
      </c>
      <c r="I84" s="15" t="s">
        <v>29</v>
      </c>
      <c r="J84" s="15">
        <v>100</v>
      </c>
      <c r="K84" s="15">
        <v>100</v>
      </c>
      <c r="L84" s="39">
        <v>100</v>
      </c>
    </row>
    <row r="85" spans="1:12" ht="27.6" x14ac:dyDescent="0.25">
      <c r="A85" s="12" t="s">
        <v>166</v>
      </c>
      <c r="B85" s="13" t="s">
        <v>167</v>
      </c>
      <c r="C85" s="13" t="s">
        <v>168</v>
      </c>
      <c r="D85" s="14" t="s">
        <v>154</v>
      </c>
      <c r="E85" s="33">
        <v>19</v>
      </c>
      <c r="F85" s="33">
        <v>19</v>
      </c>
      <c r="G85" s="33">
        <v>19</v>
      </c>
      <c r="H85" s="14" t="s">
        <v>155</v>
      </c>
      <c r="I85" s="15" t="s">
        <v>29</v>
      </c>
      <c r="J85" s="15">
        <v>100</v>
      </c>
      <c r="K85" s="15">
        <v>100</v>
      </c>
      <c r="L85" s="39">
        <v>100</v>
      </c>
    </row>
    <row r="86" spans="1:12" ht="27.6" x14ac:dyDescent="0.25">
      <c r="A86" s="12" t="s">
        <v>169</v>
      </c>
      <c r="B86" s="13" t="s">
        <v>170</v>
      </c>
      <c r="C86" s="13" t="s">
        <v>171</v>
      </c>
      <c r="D86" s="14" t="s">
        <v>154</v>
      </c>
      <c r="E86" s="33">
        <v>28.3</v>
      </c>
      <c r="F86" s="33">
        <v>28.3</v>
      </c>
      <c r="G86" s="33">
        <v>28.3</v>
      </c>
      <c r="H86" s="14" t="s">
        <v>155</v>
      </c>
      <c r="I86" s="15" t="s">
        <v>29</v>
      </c>
      <c r="J86" s="15">
        <v>100</v>
      </c>
      <c r="K86" s="15">
        <v>100</v>
      </c>
      <c r="L86" s="39">
        <v>100</v>
      </c>
    </row>
    <row r="87" spans="1:12" x14ac:dyDescent="0.25">
      <c r="A87" s="12" t="s">
        <v>172</v>
      </c>
      <c r="B87" s="13" t="s">
        <v>173</v>
      </c>
      <c r="C87" s="13" t="s">
        <v>64</v>
      </c>
      <c r="D87" s="14" t="s">
        <v>154</v>
      </c>
      <c r="E87" s="33">
        <v>80.599999999999994</v>
      </c>
      <c r="F87" s="33">
        <v>80.599999999999994</v>
      </c>
      <c r="G87" s="33">
        <v>80.599999999999994</v>
      </c>
      <c r="H87" s="14" t="s">
        <v>155</v>
      </c>
      <c r="I87" s="15" t="s">
        <v>29</v>
      </c>
      <c r="J87" s="15">
        <v>100</v>
      </c>
      <c r="K87" s="15">
        <v>100</v>
      </c>
      <c r="L87" s="39">
        <v>100</v>
      </c>
    </row>
    <row r="88" spans="1:12" ht="16.5" customHeight="1" x14ac:dyDescent="0.25">
      <c r="A88" s="12" t="s">
        <v>174</v>
      </c>
      <c r="B88" s="13" t="s">
        <v>175</v>
      </c>
      <c r="C88" s="13" t="s">
        <v>176</v>
      </c>
      <c r="D88" s="14" t="s">
        <v>154</v>
      </c>
      <c r="E88" s="33">
        <v>16.600000000000001</v>
      </c>
      <c r="F88" s="33">
        <v>16.600000000000001</v>
      </c>
      <c r="G88" s="33">
        <v>16.600000000000001</v>
      </c>
      <c r="H88" s="14" t="s">
        <v>155</v>
      </c>
      <c r="I88" s="15" t="s">
        <v>29</v>
      </c>
      <c r="J88" s="15">
        <v>100</v>
      </c>
      <c r="K88" s="15">
        <v>100</v>
      </c>
      <c r="L88" s="39">
        <v>100</v>
      </c>
    </row>
    <row r="89" spans="1:12" x14ac:dyDescent="0.25">
      <c r="A89" s="12" t="s">
        <v>177</v>
      </c>
      <c r="B89" s="13" t="s">
        <v>178</v>
      </c>
      <c r="C89" s="13" t="s">
        <v>147</v>
      </c>
      <c r="D89" s="14" t="s">
        <v>154</v>
      </c>
      <c r="E89" s="33">
        <v>119.6</v>
      </c>
      <c r="F89" s="33">
        <v>119.6</v>
      </c>
      <c r="G89" s="33">
        <v>119.6</v>
      </c>
      <c r="H89" s="14" t="s">
        <v>155</v>
      </c>
      <c r="I89" s="15" t="s">
        <v>29</v>
      </c>
      <c r="J89" s="15">
        <v>100</v>
      </c>
      <c r="K89" s="15">
        <v>100</v>
      </c>
      <c r="L89" s="39">
        <v>100</v>
      </c>
    </row>
    <row r="90" spans="1:12" x14ac:dyDescent="0.25">
      <c r="A90" s="12" t="s">
        <v>179</v>
      </c>
      <c r="B90" s="13" t="s">
        <v>180</v>
      </c>
      <c r="C90" s="13" t="s">
        <v>181</v>
      </c>
      <c r="D90" s="14" t="s">
        <v>154</v>
      </c>
      <c r="E90" s="33">
        <v>11.4</v>
      </c>
      <c r="F90" s="33">
        <v>11.4</v>
      </c>
      <c r="G90" s="33">
        <v>11.4</v>
      </c>
      <c r="H90" s="14" t="s">
        <v>155</v>
      </c>
      <c r="I90" s="15" t="s">
        <v>29</v>
      </c>
      <c r="J90" s="15">
        <v>100</v>
      </c>
      <c r="K90" s="15">
        <v>100</v>
      </c>
      <c r="L90" s="39">
        <v>100</v>
      </c>
    </row>
    <row r="91" spans="1:12" ht="27.6" x14ac:dyDescent="0.25">
      <c r="A91" s="12" t="s">
        <v>182</v>
      </c>
      <c r="B91" s="13" t="s">
        <v>183</v>
      </c>
      <c r="C91" s="13" t="s">
        <v>184</v>
      </c>
      <c r="D91" s="14" t="s">
        <v>154</v>
      </c>
      <c r="E91" s="33">
        <v>11.3</v>
      </c>
      <c r="F91" s="33">
        <v>11.3</v>
      </c>
      <c r="G91" s="33">
        <v>11.3</v>
      </c>
      <c r="H91" s="14" t="s">
        <v>155</v>
      </c>
      <c r="I91" s="15" t="s">
        <v>29</v>
      </c>
      <c r="J91" s="15">
        <v>100</v>
      </c>
      <c r="K91" s="15">
        <v>100</v>
      </c>
      <c r="L91" s="39">
        <v>100</v>
      </c>
    </row>
    <row r="92" spans="1:12" ht="27.6" x14ac:dyDescent="0.25">
      <c r="A92" s="12" t="s">
        <v>185</v>
      </c>
      <c r="B92" s="13" t="s">
        <v>186</v>
      </c>
      <c r="C92" s="13" t="s">
        <v>187</v>
      </c>
      <c r="D92" s="14" t="s">
        <v>154</v>
      </c>
      <c r="E92" s="33">
        <v>22.3</v>
      </c>
      <c r="F92" s="33">
        <v>22.3</v>
      </c>
      <c r="G92" s="33">
        <v>22.3</v>
      </c>
      <c r="H92" s="14" t="s">
        <v>155</v>
      </c>
      <c r="I92" s="15" t="s">
        <v>29</v>
      </c>
      <c r="J92" s="15">
        <v>100</v>
      </c>
      <c r="K92" s="15">
        <v>100</v>
      </c>
      <c r="L92" s="39">
        <v>100</v>
      </c>
    </row>
    <row r="93" spans="1:12" ht="14.4" thickBot="1" x14ac:dyDescent="0.3">
      <c r="A93" s="12" t="s">
        <v>188</v>
      </c>
      <c r="B93" s="13" t="s">
        <v>189</v>
      </c>
      <c r="C93" s="13" t="s">
        <v>184</v>
      </c>
      <c r="D93" s="14" t="s">
        <v>154</v>
      </c>
      <c r="E93" s="33">
        <v>73.7</v>
      </c>
      <c r="F93" s="33">
        <v>73.7</v>
      </c>
      <c r="G93" s="33">
        <v>73.7</v>
      </c>
      <c r="H93" s="14" t="s">
        <v>155</v>
      </c>
      <c r="I93" s="15" t="s">
        <v>29</v>
      </c>
      <c r="J93" s="15">
        <v>100</v>
      </c>
      <c r="K93" s="15">
        <v>100</v>
      </c>
      <c r="L93" s="39">
        <v>100</v>
      </c>
    </row>
    <row r="94" spans="1:12" x14ac:dyDescent="0.25">
      <c r="A94" s="121" t="s">
        <v>190</v>
      </c>
      <c r="B94" s="83" t="s">
        <v>191</v>
      </c>
      <c r="C94" s="124" t="s">
        <v>184</v>
      </c>
      <c r="D94" s="14"/>
      <c r="E94" s="31">
        <f>SUM(E95:E96)</f>
        <v>60.2</v>
      </c>
      <c r="F94" s="31">
        <f>SUM(F95:F96)</f>
        <v>60.2</v>
      </c>
      <c r="G94" s="31">
        <f>SUM(G95:G96)</f>
        <v>60.2</v>
      </c>
      <c r="H94" s="14" t="s">
        <v>155</v>
      </c>
      <c r="I94" s="15" t="s">
        <v>29</v>
      </c>
      <c r="J94" s="15">
        <v>100</v>
      </c>
      <c r="K94" s="15">
        <v>100</v>
      </c>
      <c r="L94" s="39">
        <v>100</v>
      </c>
    </row>
    <row r="95" spans="1:12" x14ac:dyDescent="0.25">
      <c r="A95" s="122"/>
      <c r="B95" s="84"/>
      <c r="C95" s="125"/>
      <c r="D95" s="10" t="s">
        <v>27</v>
      </c>
      <c r="E95" s="32">
        <v>2.5</v>
      </c>
      <c r="F95" s="32">
        <v>2.5</v>
      </c>
      <c r="G95" s="32">
        <v>2.5</v>
      </c>
      <c r="H95" s="10"/>
      <c r="I95" s="11"/>
      <c r="J95" s="11"/>
      <c r="K95" s="11"/>
      <c r="L95" s="40"/>
    </row>
    <row r="96" spans="1:12" ht="14.4" thickBot="1" x14ac:dyDescent="0.3">
      <c r="A96" s="123"/>
      <c r="B96" s="78"/>
      <c r="C96" s="126"/>
      <c r="D96" s="10" t="s">
        <v>154</v>
      </c>
      <c r="E96" s="32">
        <v>57.7</v>
      </c>
      <c r="F96" s="32">
        <v>57.7</v>
      </c>
      <c r="G96" s="32">
        <v>57.7</v>
      </c>
      <c r="H96" s="10"/>
      <c r="I96" s="11"/>
      <c r="J96" s="11"/>
      <c r="K96" s="11"/>
      <c r="L96" s="40"/>
    </row>
    <row r="97" spans="1:12" ht="42" thickBot="1" x14ac:dyDescent="0.3">
      <c r="A97" s="12" t="s">
        <v>192</v>
      </c>
      <c r="B97" s="13" t="s">
        <v>193</v>
      </c>
      <c r="C97" s="13" t="s">
        <v>194</v>
      </c>
      <c r="D97" s="14" t="s">
        <v>154</v>
      </c>
      <c r="E97" s="33">
        <v>2.9</v>
      </c>
      <c r="F97" s="33">
        <v>2.9</v>
      </c>
      <c r="G97" s="33">
        <v>2.9</v>
      </c>
      <c r="H97" s="14" t="s">
        <v>155</v>
      </c>
      <c r="I97" s="15" t="s">
        <v>29</v>
      </c>
      <c r="J97" s="15">
        <v>100</v>
      </c>
      <c r="K97" s="15">
        <v>100</v>
      </c>
      <c r="L97" s="39">
        <v>100</v>
      </c>
    </row>
    <row r="98" spans="1:12" ht="17.25" customHeight="1" x14ac:dyDescent="0.25">
      <c r="A98" s="121" t="s">
        <v>195</v>
      </c>
      <c r="B98" s="83" t="s">
        <v>196</v>
      </c>
      <c r="C98" s="124" t="s">
        <v>197</v>
      </c>
      <c r="D98" s="14" t="s">
        <v>154</v>
      </c>
      <c r="E98" s="31">
        <f>SUM(E99:E99)+2.4</f>
        <v>2.4</v>
      </c>
      <c r="F98" s="31">
        <f>SUM(F99:F99)+2.4</f>
        <v>2.4</v>
      </c>
      <c r="G98" s="31">
        <f>SUM(G99:G99)+2.4</f>
        <v>2.4</v>
      </c>
      <c r="H98" s="14" t="s">
        <v>198</v>
      </c>
      <c r="I98" s="15" t="s">
        <v>22</v>
      </c>
      <c r="J98" s="15">
        <v>2</v>
      </c>
      <c r="K98" s="15">
        <v>2</v>
      </c>
      <c r="L98" s="39">
        <v>2</v>
      </c>
    </row>
    <row r="99" spans="1:12" ht="28.2" thickBot="1" x14ac:dyDescent="0.3">
      <c r="A99" s="123"/>
      <c r="B99" s="78"/>
      <c r="C99" s="126"/>
      <c r="D99" s="10"/>
      <c r="E99" s="32">
        <v>0</v>
      </c>
      <c r="F99" s="32">
        <v>0</v>
      </c>
      <c r="G99" s="32">
        <v>0</v>
      </c>
      <c r="H99" s="10" t="s">
        <v>199</v>
      </c>
      <c r="I99" s="11" t="s">
        <v>22</v>
      </c>
      <c r="J99" s="11">
        <v>280</v>
      </c>
      <c r="K99" s="11">
        <v>280</v>
      </c>
      <c r="L99" s="40">
        <v>280</v>
      </c>
    </row>
    <row r="100" spans="1:12" ht="42" thickBot="1" x14ac:dyDescent="0.3">
      <c r="A100" s="12" t="s">
        <v>200</v>
      </c>
      <c r="B100" s="13" t="s">
        <v>201</v>
      </c>
      <c r="C100" s="13" t="s">
        <v>202</v>
      </c>
      <c r="D100" s="14" t="s">
        <v>154</v>
      </c>
      <c r="E100" s="33">
        <v>31.4</v>
      </c>
      <c r="F100" s="33">
        <v>31.4</v>
      </c>
      <c r="G100" s="33">
        <v>31.4</v>
      </c>
      <c r="H100" s="14" t="s">
        <v>155</v>
      </c>
      <c r="I100" s="15" t="s">
        <v>29</v>
      </c>
      <c r="J100" s="15">
        <v>100</v>
      </c>
      <c r="K100" s="15">
        <v>100</v>
      </c>
      <c r="L100" s="39">
        <v>100</v>
      </c>
    </row>
    <row r="101" spans="1:12" ht="27.6" x14ac:dyDescent="0.25">
      <c r="A101" s="12" t="s">
        <v>203</v>
      </c>
      <c r="B101" s="13" t="s">
        <v>204</v>
      </c>
      <c r="C101" s="13" t="s">
        <v>205</v>
      </c>
      <c r="D101" s="14" t="s">
        <v>154</v>
      </c>
      <c r="E101" s="33">
        <v>38.200000000000003</v>
      </c>
      <c r="F101" s="33">
        <v>38.200000000000003</v>
      </c>
      <c r="G101" s="33">
        <v>38.200000000000003</v>
      </c>
      <c r="H101" s="14" t="s">
        <v>206</v>
      </c>
      <c r="I101" s="15" t="s">
        <v>29</v>
      </c>
      <c r="J101" s="15">
        <v>100</v>
      </c>
      <c r="K101" s="15">
        <v>100</v>
      </c>
      <c r="L101" s="39">
        <v>100</v>
      </c>
    </row>
    <row r="102" spans="1:12" ht="27.6" x14ac:dyDescent="0.25">
      <c r="A102" s="12" t="s">
        <v>207</v>
      </c>
      <c r="B102" s="13" t="s">
        <v>208</v>
      </c>
      <c r="C102" s="13" t="s">
        <v>209</v>
      </c>
      <c r="D102" s="14" t="s">
        <v>154</v>
      </c>
      <c r="E102" s="33">
        <v>131.69999999999999</v>
      </c>
      <c r="F102" s="33">
        <v>131.69999999999999</v>
      </c>
      <c r="G102" s="33">
        <v>131.69999999999999</v>
      </c>
      <c r="H102" s="14" t="s">
        <v>155</v>
      </c>
      <c r="I102" s="15" t="s">
        <v>29</v>
      </c>
      <c r="J102" s="15">
        <v>100</v>
      </c>
      <c r="K102" s="15">
        <v>100</v>
      </c>
      <c r="L102" s="39">
        <v>100</v>
      </c>
    </row>
    <row r="103" spans="1:12" ht="28.2" thickBot="1" x14ac:dyDescent="0.3">
      <c r="A103" s="12" t="s">
        <v>210</v>
      </c>
      <c r="B103" s="13" t="s">
        <v>211</v>
      </c>
      <c r="C103" s="13" t="s">
        <v>212</v>
      </c>
      <c r="D103" s="14" t="s">
        <v>27</v>
      </c>
      <c r="E103" s="33">
        <v>31.5</v>
      </c>
      <c r="F103" s="33">
        <v>31.5</v>
      </c>
      <c r="G103" s="33">
        <v>31.5</v>
      </c>
      <c r="H103" s="14" t="s">
        <v>155</v>
      </c>
      <c r="I103" s="15" t="s">
        <v>29</v>
      </c>
      <c r="J103" s="15">
        <v>100</v>
      </c>
      <c r="K103" s="15">
        <v>100</v>
      </c>
      <c r="L103" s="39">
        <v>100</v>
      </c>
    </row>
    <row r="104" spans="1:12" ht="30.75" customHeight="1" thickBot="1" x14ac:dyDescent="0.3">
      <c r="A104" s="6" t="s">
        <v>213</v>
      </c>
      <c r="B104" s="111" t="s">
        <v>214</v>
      </c>
      <c r="C104" s="112"/>
      <c r="D104" s="113"/>
      <c r="E104" s="29">
        <f>E105+E107+E108</f>
        <v>9887.9</v>
      </c>
      <c r="F104" s="29">
        <f>F105+F107+F108</f>
        <v>11967.6</v>
      </c>
      <c r="G104" s="29">
        <f>G105+G107+G108</f>
        <v>12945.9</v>
      </c>
      <c r="H104" s="7" t="s">
        <v>215</v>
      </c>
      <c r="I104" s="8" t="s">
        <v>29</v>
      </c>
      <c r="J104" s="8">
        <v>10</v>
      </c>
      <c r="K104" s="8">
        <v>10</v>
      </c>
      <c r="L104" s="43">
        <v>10</v>
      </c>
    </row>
    <row r="105" spans="1:12" ht="34.5" customHeight="1" x14ac:dyDescent="0.25">
      <c r="A105" s="121" t="s">
        <v>216</v>
      </c>
      <c r="B105" s="83" t="s">
        <v>217</v>
      </c>
      <c r="C105" s="124" t="s">
        <v>218</v>
      </c>
      <c r="D105" s="83" t="s">
        <v>40</v>
      </c>
      <c r="E105" s="85">
        <f>SUM(E106:E106)+9538.9</f>
        <v>9538.9</v>
      </c>
      <c r="F105" s="85">
        <f>SUM(F106:F106)+11605.6</f>
        <v>11605.6</v>
      </c>
      <c r="G105" s="85">
        <f>SUM(G106:G106)+12723.8</f>
        <v>12723.8</v>
      </c>
      <c r="H105" s="14" t="s">
        <v>219</v>
      </c>
      <c r="I105" s="15" t="s">
        <v>220</v>
      </c>
      <c r="J105" s="15">
        <v>13</v>
      </c>
      <c r="K105" s="15">
        <v>13</v>
      </c>
      <c r="L105" s="39">
        <v>13</v>
      </c>
    </row>
    <row r="106" spans="1:12" ht="26.25" customHeight="1" thickBot="1" x14ac:dyDescent="0.3">
      <c r="A106" s="123"/>
      <c r="B106" s="78"/>
      <c r="C106" s="126"/>
      <c r="D106" s="78"/>
      <c r="E106" s="87"/>
      <c r="F106" s="87"/>
      <c r="G106" s="87"/>
      <c r="H106" s="10" t="s">
        <v>221</v>
      </c>
      <c r="I106" s="11" t="s">
        <v>29</v>
      </c>
      <c r="J106" s="11">
        <v>100</v>
      </c>
      <c r="K106" s="11">
        <v>100</v>
      </c>
      <c r="L106" s="40">
        <v>100</v>
      </c>
    </row>
    <row r="107" spans="1:12" ht="28.2" thickBot="1" x14ac:dyDescent="0.3">
      <c r="A107" s="12" t="s">
        <v>222</v>
      </c>
      <c r="B107" s="13" t="s">
        <v>223</v>
      </c>
      <c r="C107" s="13" t="s">
        <v>88</v>
      </c>
      <c r="D107" s="14" t="s">
        <v>40</v>
      </c>
      <c r="E107" s="33">
        <v>200</v>
      </c>
      <c r="F107" s="33">
        <v>200</v>
      </c>
      <c r="G107" s="33">
        <v>59.1</v>
      </c>
      <c r="H107" s="14" t="s">
        <v>224</v>
      </c>
      <c r="I107" s="15" t="s">
        <v>29</v>
      </c>
      <c r="J107" s="15">
        <v>100</v>
      </c>
      <c r="K107" s="15">
        <v>100</v>
      </c>
      <c r="L107" s="39">
        <v>100</v>
      </c>
    </row>
    <row r="108" spans="1:12" ht="27.6" x14ac:dyDescent="0.25">
      <c r="A108" s="121" t="s">
        <v>225</v>
      </c>
      <c r="B108" s="83" t="s">
        <v>226</v>
      </c>
      <c r="C108" s="124" t="s">
        <v>227</v>
      </c>
      <c r="D108" s="83" t="s">
        <v>40</v>
      </c>
      <c r="E108" s="85">
        <f>SUM(E109:E109)+149</f>
        <v>149</v>
      </c>
      <c r="F108" s="85">
        <f>SUM(F109:F109)+162</f>
        <v>162</v>
      </c>
      <c r="G108" s="85">
        <f>SUM(G109:G109)+163</f>
        <v>163</v>
      </c>
      <c r="H108" s="14" t="s">
        <v>228</v>
      </c>
      <c r="I108" s="15" t="s">
        <v>29</v>
      </c>
      <c r="J108" s="15">
        <v>100</v>
      </c>
      <c r="K108" s="15">
        <v>100</v>
      </c>
      <c r="L108" s="39">
        <v>100</v>
      </c>
    </row>
    <row r="109" spans="1:12" ht="28.2" thickBot="1" x14ac:dyDescent="0.3">
      <c r="A109" s="123"/>
      <c r="B109" s="78"/>
      <c r="C109" s="126"/>
      <c r="D109" s="78"/>
      <c r="E109" s="87"/>
      <c r="F109" s="87"/>
      <c r="G109" s="87"/>
      <c r="H109" s="10" t="s">
        <v>229</v>
      </c>
      <c r="I109" s="11" t="s">
        <v>220</v>
      </c>
      <c r="J109" s="11">
        <v>75</v>
      </c>
      <c r="K109" s="11">
        <v>75</v>
      </c>
      <c r="L109" s="40">
        <v>75</v>
      </c>
    </row>
    <row r="110" spans="1:12" ht="28.2" thickBot="1" x14ac:dyDescent="0.3">
      <c r="A110" s="6" t="s">
        <v>230</v>
      </c>
      <c r="B110" s="111" t="s">
        <v>231</v>
      </c>
      <c r="C110" s="112"/>
      <c r="D110" s="113"/>
      <c r="E110" s="29">
        <f>E111+E112+E113+E114+E115+E116+E117+E119+E120</f>
        <v>2732.7</v>
      </c>
      <c r="F110" s="29">
        <f>F111+F112+F113+F114+F115+F116+F117+F119+F120</f>
        <v>2729</v>
      </c>
      <c r="G110" s="29">
        <f>G111+G112+G113+G114+G115+G116+G117+G119+G120</f>
        <v>2629.5</v>
      </c>
      <c r="H110" s="7" t="s">
        <v>232</v>
      </c>
      <c r="I110" s="8" t="s">
        <v>29</v>
      </c>
      <c r="J110" s="8">
        <v>92</v>
      </c>
      <c r="K110" s="8">
        <v>93</v>
      </c>
      <c r="L110" s="43">
        <v>94</v>
      </c>
    </row>
    <row r="111" spans="1:12" ht="42" thickBot="1" x14ac:dyDescent="0.3">
      <c r="A111" s="12" t="s">
        <v>233</v>
      </c>
      <c r="B111" s="13" t="s">
        <v>234</v>
      </c>
      <c r="C111" s="13" t="s">
        <v>235</v>
      </c>
      <c r="D111" s="14" t="s">
        <v>40</v>
      </c>
      <c r="E111" s="33">
        <v>50</v>
      </c>
      <c r="F111" s="33">
        <v>50</v>
      </c>
      <c r="G111" s="33">
        <v>45</v>
      </c>
      <c r="H111" s="14" t="s">
        <v>236</v>
      </c>
      <c r="I111" s="15" t="s">
        <v>22</v>
      </c>
      <c r="J111" s="15">
        <v>100</v>
      </c>
      <c r="K111" s="15">
        <v>110</v>
      </c>
      <c r="L111" s="39">
        <v>110</v>
      </c>
    </row>
    <row r="112" spans="1:12" ht="27.6" x14ac:dyDescent="0.25">
      <c r="A112" s="12" t="s">
        <v>237</v>
      </c>
      <c r="B112" s="13" t="s">
        <v>238</v>
      </c>
      <c r="C112" s="13" t="s">
        <v>235</v>
      </c>
      <c r="D112" s="14" t="s">
        <v>40</v>
      </c>
      <c r="E112" s="33">
        <v>17</v>
      </c>
      <c r="F112" s="33">
        <v>17</v>
      </c>
      <c r="G112" s="33">
        <v>16</v>
      </c>
      <c r="H112" s="14" t="s">
        <v>239</v>
      </c>
      <c r="I112" s="15" t="s">
        <v>29</v>
      </c>
      <c r="J112" s="15">
        <v>100</v>
      </c>
      <c r="K112" s="15">
        <v>100</v>
      </c>
      <c r="L112" s="39">
        <v>100</v>
      </c>
    </row>
    <row r="113" spans="1:12" ht="55.2" x14ac:dyDescent="0.25">
      <c r="A113" s="12" t="s">
        <v>240</v>
      </c>
      <c r="B113" s="13" t="s">
        <v>241</v>
      </c>
      <c r="C113" s="13" t="s">
        <v>242</v>
      </c>
      <c r="D113" s="14" t="s">
        <v>40</v>
      </c>
      <c r="E113" s="33">
        <v>49</v>
      </c>
      <c r="F113" s="33">
        <v>50</v>
      </c>
      <c r="G113" s="33">
        <v>40</v>
      </c>
      <c r="H113" s="14" t="s">
        <v>243</v>
      </c>
      <c r="I113" s="15" t="s">
        <v>220</v>
      </c>
      <c r="J113" s="15">
        <v>5</v>
      </c>
      <c r="K113" s="15">
        <v>5</v>
      </c>
      <c r="L113" s="39">
        <v>5</v>
      </c>
    </row>
    <row r="114" spans="1:12" ht="55.2" x14ac:dyDescent="0.25">
      <c r="A114" s="12" t="s">
        <v>244</v>
      </c>
      <c r="B114" s="13" t="s">
        <v>245</v>
      </c>
      <c r="C114" s="13" t="s">
        <v>235</v>
      </c>
      <c r="D114" s="14" t="s">
        <v>40</v>
      </c>
      <c r="E114" s="33">
        <v>2010.2</v>
      </c>
      <c r="F114" s="33">
        <v>2000</v>
      </c>
      <c r="G114" s="33">
        <v>1980</v>
      </c>
      <c r="H114" s="14" t="s">
        <v>246</v>
      </c>
      <c r="I114" s="15" t="s">
        <v>29</v>
      </c>
      <c r="J114" s="15">
        <v>100</v>
      </c>
      <c r="K114" s="15">
        <v>100</v>
      </c>
      <c r="L114" s="39">
        <v>100</v>
      </c>
    </row>
    <row r="115" spans="1:12" ht="41.4" x14ac:dyDescent="0.25">
      <c r="A115" s="12" t="s">
        <v>247</v>
      </c>
      <c r="B115" s="13" t="s">
        <v>248</v>
      </c>
      <c r="C115" s="13" t="s">
        <v>235</v>
      </c>
      <c r="D115" s="14" t="s">
        <v>40</v>
      </c>
      <c r="E115" s="33">
        <v>30</v>
      </c>
      <c r="F115" s="33">
        <v>35</v>
      </c>
      <c r="G115" s="33">
        <v>35</v>
      </c>
      <c r="H115" s="14" t="s">
        <v>249</v>
      </c>
      <c r="I115" s="15" t="s">
        <v>29</v>
      </c>
      <c r="J115" s="15">
        <v>100</v>
      </c>
      <c r="K115" s="15">
        <v>100</v>
      </c>
      <c r="L115" s="39">
        <v>100</v>
      </c>
    </row>
    <row r="116" spans="1:12" ht="42" thickBot="1" x14ac:dyDescent="0.3">
      <c r="A116" s="12" t="s">
        <v>250</v>
      </c>
      <c r="B116" s="13" t="s">
        <v>251</v>
      </c>
      <c r="C116" s="13" t="s">
        <v>235</v>
      </c>
      <c r="D116" s="14" t="s">
        <v>40</v>
      </c>
      <c r="E116" s="33">
        <v>2</v>
      </c>
      <c r="F116" s="33">
        <v>2</v>
      </c>
      <c r="G116" s="33">
        <v>2</v>
      </c>
      <c r="H116" s="14" t="s">
        <v>252</v>
      </c>
      <c r="I116" s="15" t="s">
        <v>22</v>
      </c>
      <c r="J116" s="15">
        <v>3</v>
      </c>
      <c r="K116" s="15">
        <v>3</v>
      </c>
      <c r="L116" s="39">
        <v>3</v>
      </c>
    </row>
    <row r="117" spans="1:12" ht="45.75" customHeight="1" x14ac:dyDescent="0.25">
      <c r="A117" s="121" t="s">
        <v>253</v>
      </c>
      <c r="B117" s="83" t="s">
        <v>254</v>
      </c>
      <c r="C117" s="124" t="s">
        <v>235</v>
      </c>
      <c r="D117" s="83" t="s">
        <v>40</v>
      </c>
      <c r="E117" s="85">
        <f>SUM(E118:E118)+400</f>
        <v>400</v>
      </c>
      <c r="F117" s="85">
        <f>SUM(F118:F118)+400</f>
        <v>400</v>
      </c>
      <c r="G117" s="85">
        <f>SUM(G118:G118)+400</f>
        <v>400</v>
      </c>
      <c r="H117" s="14" t="s">
        <v>255</v>
      </c>
      <c r="I117" s="15" t="s">
        <v>22</v>
      </c>
      <c r="J117" s="15">
        <v>60</v>
      </c>
      <c r="K117" s="15">
        <v>60</v>
      </c>
      <c r="L117" s="39">
        <v>60</v>
      </c>
    </row>
    <row r="118" spans="1:12" ht="28.2" thickBot="1" x14ac:dyDescent="0.3">
      <c r="A118" s="123"/>
      <c r="B118" s="78"/>
      <c r="C118" s="126"/>
      <c r="D118" s="78"/>
      <c r="E118" s="87"/>
      <c r="F118" s="87"/>
      <c r="G118" s="87"/>
      <c r="H118" s="10" t="s">
        <v>256</v>
      </c>
      <c r="I118" s="11" t="s">
        <v>22</v>
      </c>
      <c r="J118" s="11">
        <v>850</v>
      </c>
      <c r="K118" s="11">
        <v>850</v>
      </c>
      <c r="L118" s="40">
        <v>850</v>
      </c>
    </row>
    <row r="119" spans="1:12" ht="28.2" thickBot="1" x14ac:dyDescent="0.3">
      <c r="A119" s="12" t="s">
        <v>257</v>
      </c>
      <c r="B119" s="13" t="s">
        <v>258</v>
      </c>
      <c r="C119" s="13" t="s">
        <v>235</v>
      </c>
      <c r="D119" s="14" t="s">
        <v>40</v>
      </c>
      <c r="E119" s="33">
        <v>1</v>
      </c>
      <c r="F119" s="33">
        <v>1.5</v>
      </c>
      <c r="G119" s="33">
        <v>1.5</v>
      </c>
      <c r="H119" s="14" t="s">
        <v>259</v>
      </c>
      <c r="I119" s="15" t="s">
        <v>22</v>
      </c>
      <c r="J119" s="15">
        <v>5</v>
      </c>
      <c r="K119" s="15">
        <v>6</v>
      </c>
      <c r="L119" s="39">
        <v>6</v>
      </c>
    </row>
    <row r="120" spans="1:12" ht="27.6" x14ac:dyDescent="0.25">
      <c r="A120" s="121" t="s">
        <v>260</v>
      </c>
      <c r="B120" s="83" t="s">
        <v>261</v>
      </c>
      <c r="C120" s="124" t="s">
        <v>235</v>
      </c>
      <c r="D120" s="83" t="s">
        <v>154</v>
      </c>
      <c r="E120" s="85">
        <f>SUM(E121:E121)+173.5</f>
        <v>173.5</v>
      </c>
      <c r="F120" s="85">
        <f>SUM(F121:F121)+173.5</f>
        <v>173.5</v>
      </c>
      <c r="G120" s="85">
        <f>SUM(G121:G121)+110</f>
        <v>110</v>
      </c>
      <c r="H120" s="14" t="s">
        <v>262</v>
      </c>
      <c r="I120" s="15" t="s">
        <v>22</v>
      </c>
      <c r="J120" s="15">
        <v>50</v>
      </c>
      <c r="K120" s="15">
        <v>55</v>
      </c>
      <c r="L120" s="39">
        <v>60</v>
      </c>
    </row>
    <row r="121" spans="1:12" ht="28.2" thickBot="1" x14ac:dyDescent="0.3">
      <c r="A121" s="123"/>
      <c r="B121" s="78"/>
      <c r="C121" s="126"/>
      <c r="D121" s="78"/>
      <c r="E121" s="87"/>
      <c r="F121" s="87"/>
      <c r="G121" s="87"/>
      <c r="H121" s="10" t="s">
        <v>263</v>
      </c>
      <c r="I121" s="11" t="s">
        <v>22</v>
      </c>
      <c r="J121" s="11">
        <v>2</v>
      </c>
      <c r="K121" s="11">
        <v>2</v>
      </c>
      <c r="L121" s="40">
        <v>2</v>
      </c>
    </row>
    <row r="122" spans="1:12" ht="26.25" customHeight="1" thickBot="1" x14ac:dyDescent="0.3">
      <c r="A122" s="4" t="s">
        <v>264</v>
      </c>
      <c r="B122" s="5" t="s">
        <v>265</v>
      </c>
      <c r="C122" s="92" t="s">
        <v>168</v>
      </c>
      <c r="D122" s="93"/>
      <c r="E122" s="28">
        <f>E123+E159</f>
        <v>9958.7999999999993</v>
      </c>
      <c r="F122" s="28">
        <f>F123+F159</f>
        <v>9897.9999999999982</v>
      </c>
      <c r="G122" s="28">
        <f>G123+G159</f>
        <v>10365.200000000001</v>
      </c>
      <c r="H122" s="94"/>
      <c r="I122" s="95"/>
      <c r="J122" s="95"/>
      <c r="K122" s="95"/>
      <c r="L122" s="96"/>
    </row>
    <row r="123" spans="1:12" x14ac:dyDescent="0.25">
      <c r="A123" s="127" t="s">
        <v>266</v>
      </c>
      <c r="B123" s="129" t="s">
        <v>267</v>
      </c>
      <c r="C123" s="130"/>
      <c r="D123" s="131"/>
      <c r="E123" s="88">
        <f>E124+E125+E126+E127+E128+E129+E130+E131+E140+E144+E149+E153+E157+E158</f>
        <v>9449.5</v>
      </c>
      <c r="F123" s="88">
        <f>F124+F125+F126+F127+F128+F129+F130+F131+F140+F144+F149+F153+F157+F158</f>
        <v>9292.0999999999985</v>
      </c>
      <c r="G123" s="88">
        <f>G124+G125+G126+G127+G128+G129+G130+G131+G140+G144+G149+G153+G157+G158</f>
        <v>9577.5</v>
      </c>
      <c r="H123" s="7" t="s">
        <v>268</v>
      </c>
      <c r="I123" s="8" t="s">
        <v>269</v>
      </c>
      <c r="J123" s="45">
        <v>1002400</v>
      </c>
      <c r="K123" s="45">
        <v>1012100</v>
      </c>
      <c r="L123" s="46">
        <v>1021900</v>
      </c>
    </row>
    <row r="124" spans="1:12" x14ac:dyDescent="0.25">
      <c r="A124" s="138"/>
      <c r="B124" s="139"/>
      <c r="C124" s="140"/>
      <c r="D124" s="141"/>
      <c r="E124" s="89"/>
      <c r="F124" s="89"/>
      <c r="G124" s="89"/>
      <c r="H124" s="22" t="s">
        <v>270</v>
      </c>
      <c r="I124" s="23" t="s">
        <v>269</v>
      </c>
      <c r="J124" s="47">
        <v>370000</v>
      </c>
      <c r="K124" s="47">
        <v>372000</v>
      </c>
      <c r="L124" s="48">
        <v>374000</v>
      </c>
    </row>
    <row r="125" spans="1:12" x14ac:dyDescent="0.25">
      <c r="A125" s="138"/>
      <c r="B125" s="139"/>
      <c r="C125" s="140"/>
      <c r="D125" s="141"/>
      <c r="E125" s="89"/>
      <c r="F125" s="89"/>
      <c r="G125" s="89"/>
      <c r="H125" s="22" t="s">
        <v>271</v>
      </c>
      <c r="I125" s="23" t="s">
        <v>269</v>
      </c>
      <c r="J125" s="47">
        <v>131400</v>
      </c>
      <c r="K125" s="47">
        <v>132600</v>
      </c>
      <c r="L125" s="48">
        <v>133800</v>
      </c>
    </row>
    <row r="126" spans="1:12" x14ac:dyDescent="0.25">
      <c r="A126" s="138"/>
      <c r="B126" s="139"/>
      <c r="C126" s="140"/>
      <c r="D126" s="141"/>
      <c r="E126" s="89"/>
      <c r="F126" s="89"/>
      <c r="G126" s="89"/>
      <c r="H126" s="22" t="s">
        <v>272</v>
      </c>
      <c r="I126" s="23" t="s">
        <v>269</v>
      </c>
      <c r="J126" s="47">
        <v>63800</v>
      </c>
      <c r="K126" s="47">
        <v>64200</v>
      </c>
      <c r="L126" s="48">
        <v>64600</v>
      </c>
    </row>
    <row r="127" spans="1:12" x14ac:dyDescent="0.25">
      <c r="A127" s="138"/>
      <c r="B127" s="139"/>
      <c r="C127" s="140"/>
      <c r="D127" s="141"/>
      <c r="E127" s="89"/>
      <c r="F127" s="89"/>
      <c r="G127" s="89"/>
      <c r="H127" s="22" t="s">
        <v>273</v>
      </c>
      <c r="I127" s="23" t="s">
        <v>269</v>
      </c>
      <c r="J127" s="47">
        <v>31400</v>
      </c>
      <c r="K127" s="47">
        <v>32600</v>
      </c>
      <c r="L127" s="48">
        <v>33800</v>
      </c>
    </row>
    <row r="128" spans="1:12" x14ac:dyDescent="0.25">
      <c r="A128" s="138"/>
      <c r="B128" s="139"/>
      <c r="C128" s="140"/>
      <c r="D128" s="141"/>
      <c r="E128" s="89"/>
      <c r="F128" s="89"/>
      <c r="G128" s="89"/>
      <c r="H128" s="22" t="s">
        <v>274</v>
      </c>
      <c r="I128" s="23" t="s">
        <v>269</v>
      </c>
      <c r="J128" s="47">
        <v>110600</v>
      </c>
      <c r="K128" s="47">
        <v>113400</v>
      </c>
      <c r="L128" s="48">
        <v>116300</v>
      </c>
    </row>
    <row r="129" spans="1:12" x14ac:dyDescent="0.25">
      <c r="A129" s="138"/>
      <c r="B129" s="139"/>
      <c r="C129" s="140"/>
      <c r="D129" s="141"/>
      <c r="E129" s="89"/>
      <c r="F129" s="89"/>
      <c r="G129" s="89"/>
      <c r="H129" s="22" t="s">
        <v>275</v>
      </c>
      <c r="I129" s="23" t="s">
        <v>269</v>
      </c>
      <c r="J129" s="47">
        <v>295200</v>
      </c>
      <c r="K129" s="47">
        <v>297300</v>
      </c>
      <c r="L129" s="48">
        <v>299400</v>
      </c>
    </row>
    <row r="130" spans="1:12" ht="42" thickBot="1" x14ac:dyDescent="0.3">
      <c r="A130" s="128"/>
      <c r="B130" s="132"/>
      <c r="C130" s="133"/>
      <c r="D130" s="134"/>
      <c r="E130" s="90"/>
      <c r="F130" s="90"/>
      <c r="G130" s="90"/>
      <c r="H130" s="22" t="s">
        <v>276</v>
      </c>
      <c r="I130" s="23" t="s">
        <v>22</v>
      </c>
      <c r="J130" s="23">
        <v>1</v>
      </c>
      <c r="K130" s="23">
        <v>1</v>
      </c>
      <c r="L130" s="38">
        <v>1</v>
      </c>
    </row>
    <row r="131" spans="1:12" x14ac:dyDescent="0.25">
      <c r="A131" s="121" t="s">
        <v>277</v>
      </c>
      <c r="B131" s="83" t="s">
        <v>278</v>
      </c>
      <c r="C131" s="124" t="s">
        <v>279</v>
      </c>
      <c r="D131" s="14"/>
      <c r="E131" s="31">
        <f>SUM(E132:E139)</f>
        <v>7321.7</v>
      </c>
      <c r="F131" s="31">
        <f>SUM(F132:F139)</f>
        <v>7326.9999999999991</v>
      </c>
      <c r="G131" s="31">
        <f>SUM(G132:G139)</f>
        <v>7489.4000000000005</v>
      </c>
      <c r="H131" s="14" t="s">
        <v>280</v>
      </c>
      <c r="I131" s="15" t="s">
        <v>22</v>
      </c>
      <c r="J131" s="15">
        <v>57</v>
      </c>
      <c r="K131" s="15">
        <v>59</v>
      </c>
      <c r="L131" s="39">
        <v>62</v>
      </c>
    </row>
    <row r="132" spans="1:12" x14ac:dyDescent="0.25">
      <c r="A132" s="122"/>
      <c r="B132" s="84"/>
      <c r="C132" s="125"/>
      <c r="D132" s="10" t="s">
        <v>108</v>
      </c>
      <c r="E132" s="32">
        <v>275</v>
      </c>
      <c r="F132" s="32">
        <v>277</v>
      </c>
      <c r="G132" s="32">
        <v>279</v>
      </c>
      <c r="H132" s="10" t="s">
        <v>281</v>
      </c>
      <c r="I132" s="11" t="s">
        <v>22</v>
      </c>
      <c r="J132" s="11">
        <v>760</v>
      </c>
      <c r="K132" s="11">
        <v>790</v>
      </c>
      <c r="L132" s="40">
        <v>820</v>
      </c>
    </row>
    <row r="133" spans="1:12" x14ac:dyDescent="0.25">
      <c r="A133" s="122"/>
      <c r="B133" s="84"/>
      <c r="C133" s="125"/>
      <c r="D133" s="10" t="s">
        <v>282</v>
      </c>
      <c r="E133" s="32">
        <v>205.7</v>
      </c>
      <c r="F133" s="32">
        <v>167.9</v>
      </c>
      <c r="G133" s="32">
        <v>171.1</v>
      </c>
      <c r="H133" s="10" t="s">
        <v>283</v>
      </c>
      <c r="I133" s="11" t="s">
        <v>22</v>
      </c>
      <c r="J133" s="11">
        <v>23</v>
      </c>
      <c r="K133" s="11">
        <v>26</v>
      </c>
      <c r="L133" s="40">
        <v>28</v>
      </c>
    </row>
    <row r="134" spans="1:12" x14ac:dyDescent="0.25">
      <c r="A134" s="122"/>
      <c r="B134" s="84"/>
      <c r="C134" s="125"/>
      <c r="D134" s="10" t="s">
        <v>284</v>
      </c>
      <c r="E134" s="32">
        <v>92</v>
      </c>
      <c r="F134" s="32">
        <v>92</v>
      </c>
      <c r="G134" s="32">
        <v>94</v>
      </c>
      <c r="H134" s="10" t="s">
        <v>285</v>
      </c>
      <c r="I134" s="11" t="s">
        <v>22</v>
      </c>
      <c r="J134" s="11">
        <v>607</v>
      </c>
      <c r="K134" s="11">
        <v>638</v>
      </c>
      <c r="L134" s="40">
        <v>663</v>
      </c>
    </row>
    <row r="135" spans="1:12" x14ac:dyDescent="0.25">
      <c r="A135" s="122"/>
      <c r="B135" s="84"/>
      <c r="C135" s="125"/>
      <c r="D135" s="10" t="s">
        <v>40</v>
      </c>
      <c r="E135" s="32">
        <v>6704.3</v>
      </c>
      <c r="F135" s="32">
        <v>6745.4</v>
      </c>
      <c r="G135" s="32">
        <v>6900.6</v>
      </c>
      <c r="H135" s="10" t="s">
        <v>286</v>
      </c>
      <c r="I135" s="11" t="s">
        <v>22</v>
      </c>
      <c r="J135" s="11">
        <v>11</v>
      </c>
      <c r="K135" s="11">
        <v>17</v>
      </c>
      <c r="L135" s="40">
        <v>17</v>
      </c>
    </row>
    <row r="136" spans="1:12" ht="41.4" x14ac:dyDescent="0.25">
      <c r="A136" s="122"/>
      <c r="B136" s="84"/>
      <c r="C136" s="125"/>
      <c r="D136" s="77" t="s">
        <v>27</v>
      </c>
      <c r="E136" s="108">
        <v>44.7</v>
      </c>
      <c r="F136" s="108">
        <v>44.7</v>
      </c>
      <c r="G136" s="108">
        <v>44.7</v>
      </c>
      <c r="H136" s="10" t="s">
        <v>287</v>
      </c>
      <c r="I136" s="11" t="s">
        <v>269</v>
      </c>
      <c r="J136" s="42">
        <v>425700</v>
      </c>
      <c r="K136" s="42">
        <v>427400</v>
      </c>
      <c r="L136" s="44">
        <v>429000</v>
      </c>
    </row>
    <row r="137" spans="1:12" ht="41.4" x14ac:dyDescent="0.25">
      <c r="A137" s="122"/>
      <c r="B137" s="84"/>
      <c r="C137" s="125"/>
      <c r="D137" s="84"/>
      <c r="E137" s="109"/>
      <c r="F137" s="109"/>
      <c r="G137" s="109"/>
      <c r="H137" s="10" t="s">
        <v>288</v>
      </c>
      <c r="I137" s="11" t="s">
        <v>269</v>
      </c>
      <c r="J137" s="42">
        <v>20400</v>
      </c>
      <c r="K137" s="42">
        <v>20900</v>
      </c>
      <c r="L137" s="44">
        <v>21300</v>
      </c>
    </row>
    <row r="138" spans="1:12" x14ac:dyDescent="0.25">
      <c r="A138" s="122"/>
      <c r="B138" s="84"/>
      <c r="C138" s="125"/>
      <c r="D138" s="84"/>
      <c r="E138" s="109"/>
      <c r="F138" s="109"/>
      <c r="G138" s="109"/>
      <c r="H138" s="10" t="s">
        <v>289</v>
      </c>
      <c r="I138" s="11" t="s">
        <v>269</v>
      </c>
      <c r="J138" s="42">
        <v>12400</v>
      </c>
      <c r="K138" s="42">
        <v>12700</v>
      </c>
      <c r="L138" s="44">
        <v>12900</v>
      </c>
    </row>
    <row r="139" spans="1:12" ht="14.4" thickBot="1" x14ac:dyDescent="0.3">
      <c r="A139" s="123"/>
      <c r="B139" s="78"/>
      <c r="C139" s="126"/>
      <c r="D139" s="78"/>
      <c r="E139" s="110"/>
      <c r="F139" s="110"/>
      <c r="G139" s="110"/>
      <c r="H139" s="10" t="s">
        <v>290</v>
      </c>
      <c r="I139" s="11" t="s">
        <v>269</v>
      </c>
      <c r="J139" s="11">
        <v>210</v>
      </c>
      <c r="K139" s="11">
        <v>325</v>
      </c>
      <c r="L139" s="40">
        <v>335</v>
      </c>
    </row>
    <row r="140" spans="1:12" x14ac:dyDescent="0.25">
      <c r="A140" s="121" t="s">
        <v>291</v>
      </c>
      <c r="B140" s="83" t="s">
        <v>292</v>
      </c>
      <c r="C140" s="124" t="s">
        <v>168</v>
      </c>
      <c r="D140" s="83" t="s">
        <v>40</v>
      </c>
      <c r="E140" s="85">
        <f>SUM(E141:E143)+100</f>
        <v>100</v>
      </c>
      <c r="F140" s="85">
        <f>SUM(F141:F143)+120</f>
        <v>120</v>
      </c>
      <c r="G140" s="85">
        <f>SUM(G141:G143)+140</f>
        <v>140</v>
      </c>
      <c r="H140" s="14" t="s">
        <v>293</v>
      </c>
      <c r="I140" s="15" t="s">
        <v>22</v>
      </c>
      <c r="J140" s="15">
        <v>35</v>
      </c>
      <c r="K140" s="15">
        <v>40</v>
      </c>
      <c r="L140" s="39">
        <v>45</v>
      </c>
    </row>
    <row r="141" spans="1:12" x14ac:dyDescent="0.25">
      <c r="A141" s="122"/>
      <c r="B141" s="84"/>
      <c r="C141" s="125"/>
      <c r="D141" s="84"/>
      <c r="E141" s="86"/>
      <c r="F141" s="86"/>
      <c r="G141" s="86"/>
      <c r="H141" s="10" t="s">
        <v>294</v>
      </c>
      <c r="I141" s="11" t="s">
        <v>22</v>
      </c>
      <c r="J141" s="11">
        <v>2</v>
      </c>
      <c r="K141" s="11">
        <v>6</v>
      </c>
      <c r="L141" s="40">
        <v>9</v>
      </c>
    </row>
    <row r="142" spans="1:12" ht="27.6" x14ac:dyDescent="0.25">
      <c r="A142" s="122"/>
      <c r="B142" s="84"/>
      <c r="C142" s="125"/>
      <c r="D142" s="84"/>
      <c r="E142" s="86"/>
      <c r="F142" s="86"/>
      <c r="G142" s="86"/>
      <c r="H142" s="10" t="s">
        <v>295</v>
      </c>
      <c r="I142" s="11" t="s">
        <v>22</v>
      </c>
      <c r="J142" s="11">
        <v>1</v>
      </c>
      <c r="K142" s="11">
        <v>2</v>
      </c>
      <c r="L142" s="40">
        <v>2</v>
      </c>
    </row>
    <row r="143" spans="1:12" ht="28.2" thickBot="1" x14ac:dyDescent="0.3">
      <c r="A143" s="123"/>
      <c r="B143" s="78"/>
      <c r="C143" s="126"/>
      <c r="D143" s="78"/>
      <c r="E143" s="87"/>
      <c r="F143" s="87"/>
      <c r="G143" s="87"/>
      <c r="H143" s="10" t="s">
        <v>296</v>
      </c>
      <c r="I143" s="11" t="s">
        <v>22</v>
      </c>
      <c r="J143" s="11">
        <v>6</v>
      </c>
      <c r="K143" s="11">
        <v>10</v>
      </c>
      <c r="L143" s="40">
        <v>12</v>
      </c>
    </row>
    <row r="144" spans="1:12" x14ac:dyDescent="0.25">
      <c r="A144" s="121" t="s">
        <v>297</v>
      </c>
      <c r="B144" s="83" t="s">
        <v>298</v>
      </c>
      <c r="C144" s="124" t="s">
        <v>168</v>
      </c>
      <c r="D144" s="83" t="s">
        <v>40</v>
      </c>
      <c r="E144" s="85">
        <f>SUM(E145:E148)+29.6</f>
        <v>29.6</v>
      </c>
      <c r="F144" s="85">
        <f>SUM(F145:F148)+43.1</f>
        <v>43.1</v>
      </c>
      <c r="G144" s="85">
        <f>SUM(G145:G148)+43.1</f>
        <v>43.1</v>
      </c>
      <c r="H144" s="14" t="s">
        <v>299</v>
      </c>
      <c r="I144" s="15" t="s">
        <v>22</v>
      </c>
      <c r="J144" s="15">
        <v>11</v>
      </c>
      <c r="K144" s="15">
        <v>11</v>
      </c>
      <c r="L144" s="39">
        <v>11</v>
      </c>
    </row>
    <row r="145" spans="1:12" ht="27.6" x14ac:dyDescent="0.25">
      <c r="A145" s="122"/>
      <c r="B145" s="84"/>
      <c r="C145" s="125"/>
      <c r="D145" s="84"/>
      <c r="E145" s="86"/>
      <c r="F145" s="86"/>
      <c r="G145" s="86"/>
      <c r="H145" s="10" t="s">
        <v>300</v>
      </c>
      <c r="I145" s="11" t="s">
        <v>22</v>
      </c>
      <c r="J145" s="11"/>
      <c r="K145" s="11">
        <v>1</v>
      </c>
      <c r="L145" s="40">
        <v>1</v>
      </c>
    </row>
    <row r="146" spans="1:12" ht="27.6" x14ac:dyDescent="0.25">
      <c r="A146" s="122"/>
      <c r="B146" s="84"/>
      <c r="C146" s="125"/>
      <c r="D146" s="84"/>
      <c r="E146" s="86"/>
      <c r="F146" s="86"/>
      <c r="G146" s="86"/>
      <c r="H146" s="10" t="s">
        <v>301</v>
      </c>
      <c r="I146" s="11" t="s">
        <v>22</v>
      </c>
      <c r="J146" s="11"/>
      <c r="K146" s="11">
        <v>2</v>
      </c>
      <c r="L146" s="40">
        <v>2</v>
      </c>
    </row>
    <row r="147" spans="1:12" ht="41.4" x14ac:dyDescent="0.25">
      <c r="A147" s="122"/>
      <c r="B147" s="84"/>
      <c r="C147" s="125"/>
      <c r="D147" s="84"/>
      <c r="E147" s="86"/>
      <c r="F147" s="86"/>
      <c r="G147" s="86"/>
      <c r="H147" s="10" t="s">
        <v>302</v>
      </c>
      <c r="I147" s="11" t="s">
        <v>22</v>
      </c>
      <c r="J147" s="11"/>
      <c r="K147" s="11">
        <v>3</v>
      </c>
      <c r="L147" s="40">
        <v>3</v>
      </c>
    </row>
    <row r="148" spans="1:12" ht="28.2" thickBot="1" x14ac:dyDescent="0.3">
      <c r="A148" s="123"/>
      <c r="B148" s="78"/>
      <c r="C148" s="126"/>
      <c r="D148" s="78"/>
      <c r="E148" s="87"/>
      <c r="F148" s="87"/>
      <c r="G148" s="87"/>
      <c r="H148" s="10" t="s">
        <v>303</v>
      </c>
      <c r="I148" s="11" t="s">
        <v>22</v>
      </c>
      <c r="J148" s="11"/>
      <c r="K148" s="11">
        <v>2</v>
      </c>
      <c r="L148" s="40">
        <v>2</v>
      </c>
    </row>
    <row r="149" spans="1:12" x14ac:dyDescent="0.25">
      <c r="A149" s="121" t="s">
        <v>304</v>
      </c>
      <c r="B149" s="83" t="s">
        <v>305</v>
      </c>
      <c r="C149" s="124" t="s">
        <v>168</v>
      </c>
      <c r="D149" s="83" t="s">
        <v>40</v>
      </c>
      <c r="E149" s="85">
        <f>SUM(E150:E152)+536.5</f>
        <v>536.5</v>
      </c>
      <c r="F149" s="85">
        <f>SUM(F150:F152)+562</f>
        <v>562</v>
      </c>
      <c r="G149" s="85">
        <f>SUM(G150:G152)+600</f>
        <v>600</v>
      </c>
      <c r="H149" s="14" t="s">
        <v>306</v>
      </c>
      <c r="I149" s="15" t="s">
        <v>22</v>
      </c>
      <c r="J149" s="15">
        <v>8</v>
      </c>
      <c r="K149" s="15">
        <v>8</v>
      </c>
      <c r="L149" s="39">
        <v>8</v>
      </c>
    </row>
    <row r="150" spans="1:12" ht="27.6" x14ac:dyDescent="0.25">
      <c r="A150" s="122"/>
      <c r="B150" s="84"/>
      <c r="C150" s="125"/>
      <c r="D150" s="84"/>
      <c r="E150" s="86"/>
      <c r="F150" s="86"/>
      <c r="G150" s="86"/>
      <c r="H150" s="10" t="s">
        <v>307</v>
      </c>
      <c r="I150" s="11" t="s">
        <v>22</v>
      </c>
      <c r="J150" s="11">
        <v>18</v>
      </c>
      <c r="K150" s="11">
        <v>23</v>
      </c>
      <c r="L150" s="40">
        <v>26</v>
      </c>
    </row>
    <row r="151" spans="1:12" ht="27.6" x14ac:dyDescent="0.25">
      <c r="A151" s="122"/>
      <c r="B151" s="84"/>
      <c r="C151" s="125"/>
      <c r="D151" s="84"/>
      <c r="E151" s="86"/>
      <c r="F151" s="86"/>
      <c r="G151" s="86"/>
      <c r="H151" s="10" t="s">
        <v>308</v>
      </c>
      <c r="I151" s="11" t="s">
        <v>22</v>
      </c>
      <c r="J151" s="11">
        <v>11</v>
      </c>
      <c r="K151" s="11">
        <v>14</v>
      </c>
      <c r="L151" s="40">
        <v>14</v>
      </c>
    </row>
    <row r="152" spans="1:12" ht="33.75" customHeight="1" thickBot="1" x14ac:dyDescent="0.3">
      <c r="A152" s="123"/>
      <c r="B152" s="78"/>
      <c r="C152" s="126"/>
      <c r="D152" s="78"/>
      <c r="E152" s="87"/>
      <c r="F152" s="87"/>
      <c r="G152" s="87"/>
      <c r="H152" s="10" t="s">
        <v>309</v>
      </c>
      <c r="I152" s="11" t="s">
        <v>22</v>
      </c>
      <c r="J152" s="11">
        <v>13</v>
      </c>
      <c r="K152" s="11">
        <v>16</v>
      </c>
      <c r="L152" s="40">
        <v>18</v>
      </c>
    </row>
    <row r="153" spans="1:12" ht="27.6" x14ac:dyDescent="0.25">
      <c r="A153" s="121" t="s">
        <v>310</v>
      </c>
      <c r="B153" s="83" t="s">
        <v>311</v>
      </c>
      <c r="C153" s="124" t="s">
        <v>279</v>
      </c>
      <c r="D153" s="83" t="s">
        <v>40</v>
      </c>
      <c r="E153" s="85">
        <f>SUM(E154:E156)+644</f>
        <v>644</v>
      </c>
      <c r="F153" s="85">
        <f>SUM(F154:F156)+685</f>
        <v>685</v>
      </c>
      <c r="G153" s="85">
        <f>SUM(G154:G156)+720</f>
        <v>720</v>
      </c>
      <c r="H153" s="14" t="s">
        <v>312</v>
      </c>
      <c r="I153" s="15" t="s">
        <v>22</v>
      </c>
      <c r="J153" s="15">
        <v>18</v>
      </c>
      <c r="K153" s="15">
        <v>18</v>
      </c>
      <c r="L153" s="39">
        <v>18</v>
      </c>
    </row>
    <row r="154" spans="1:12" ht="27.6" x14ac:dyDescent="0.25">
      <c r="A154" s="122"/>
      <c r="B154" s="84"/>
      <c r="C154" s="125"/>
      <c r="D154" s="84"/>
      <c r="E154" s="86"/>
      <c r="F154" s="86"/>
      <c r="G154" s="86"/>
      <c r="H154" s="10" t="s">
        <v>313</v>
      </c>
      <c r="I154" s="11" t="s">
        <v>22</v>
      </c>
      <c r="J154" s="11">
        <v>33</v>
      </c>
      <c r="K154" s="11">
        <v>34</v>
      </c>
      <c r="L154" s="40">
        <v>35</v>
      </c>
    </row>
    <row r="155" spans="1:12" ht="27.6" x14ac:dyDescent="0.25">
      <c r="A155" s="122"/>
      <c r="B155" s="84"/>
      <c r="C155" s="125"/>
      <c r="D155" s="84"/>
      <c r="E155" s="86"/>
      <c r="F155" s="86"/>
      <c r="G155" s="86"/>
      <c r="H155" s="10" t="s">
        <v>314</v>
      </c>
      <c r="I155" s="11" t="s">
        <v>22</v>
      </c>
      <c r="J155" s="11">
        <v>1</v>
      </c>
      <c r="K155" s="11">
        <v>1</v>
      </c>
      <c r="L155" s="40">
        <v>1</v>
      </c>
    </row>
    <row r="156" spans="1:12" ht="28.2" thickBot="1" x14ac:dyDescent="0.3">
      <c r="A156" s="123"/>
      <c r="B156" s="78"/>
      <c r="C156" s="126"/>
      <c r="D156" s="78"/>
      <c r="E156" s="87"/>
      <c r="F156" s="87"/>
      <c r="G156" s="87"/>
      <c r="H156" s="10" t="s">
        <v>315</v>
      </c>
      <c r="I156" s="11" t="s">
        <v>22</v>
      </c>
      <c r="J156" s="11">
        <v>1</v>
      </c>
      <c r="K156" s="11">
        <v>1</v>
      </c>
      <c r="L156" s="40">
        <v>1</v>
      </c>
    </row>
    <row r="157" spans="1:12" ht="28.2" thickBot="1" x14ac:dyDescent="0.3">
      <c r="A157" s="12" t="s">
        <v>316</v>
      </c>
      <c r="B157" s="13" t="s">
        <v>317</v>
      </c>
      <c r="C157" s="13" t="s">
        <v>318</v>
      </c>
      <c r="D157" s="14" t="s">
        <v>40</v>
      </c>
      <c r="E157" s="33">
        <v>812.7</v>
      </c>
      <c r="F157" s="33">
        <v>550</v>
      </c>
      <c r="G157" s="33">
        <v>580</v>
      </c>
      <c r="H157" s="14" t="s">
        <v>319</v>
      </c>
      <c r="I157" s="15" t="s">
        <v>22</v>
      </c>
      <c r="J157" s="15">
        <v>14</v>
      </c>
      <c r="K157" s="15">
        <v>12</v>
      </c>
      <c r="L157" s="39">
        <v>12</v>
      </c>
    </row>
    <row r="158" spans="1:12" ht="28.2" thickBot="1" x14ac:dyDescent="0.3">
      <c r="A158" s="12" t="s">
        <v>320</v>
      </c>
      <c r="B158" s="13" t="s">
        <v>321</v>
      </c>
      <c r="C158" s="13" t="s">
        <v>322</v>
      </c>
      <c r="D158" s="14" t="s">
        <v>40</v>
      </c>
      <c r="E158" s="33">
        <v>5</v>
      </c>
      <c r="F158" s="33">
        <v>5</v>
      </c>
      <c r="G158" s="33">
        <v>5</v>
      </c>
      <c r="H158" s="14" t="s">
        <v>323</v>
      </c>
      <c r="I158" s="15" t="s">
        <v>22</v>
      </c>
      <c r="J158" s="15">
        <v>1</v>
      </c>
      <c r="K158" s="15">
        <v>1</v>
      </c>
      <c r="L158" s="39">
        <v>1</v>
      </c>
    </row>
    <row r="159" spans="1:12" ht="28.2" thickBot="1" x14ac:dyDescent="0.3">
      <c r="A159" s="6" t="s">
        <v>324</v>
      </c>
      <c r="B159" s="111" t="s">
        <v>325</v>
      </c>
      <c r="C159" s="112"/>
      <c r="D159" s="113"/>
      <c r="E159" s="29">
        <f>E160+E162+E165+E167+E170</f>
        <v>509.3</v>
      </c>
      <c r="F159" s="29">
        <f>F160+F162+F165+F167+F170</f>
        <v>605.9</v>
      </c>
      <c r="G159" s="29">
        <f>G160+G162+G165+G167+G170</f>
        <v>787.7</v>
      </c>
      <c r="H159" s="7" t="s">
        <v>326</v>
      </c>
      <c r="I159" s="8" t="s">
        <v>22</v>
      </c>
      <c r="J159" s="8">
        <v>9</v>
      </c>
      <c r="K159" s="8">
        <v>10</v>
      </c>
      <c r="L159" s="43">
        <v>11</v>
      </c>
    </row>
    <row r="160" spans="1:12" x14ac:dyDescent="0.25">
      <c r="A160" s="121" t="s">
        <v>327</v>
      </c>
      <c r="B160" s="83" t="s">
        <v>328</v>
      </c>
      <c r="C160" s="124" t="s">
        <v>329</v>
      </c>
      <c r="D160" s="83" t="s">
        <v>40</v>
      </c>
      <c r="E160" s="85">
        <f>SUM(E161:E161)</f>
        <v>0</v>
      </c>
      <c r="F160" s="85">
        <f>SUM(F161:F161)+70</f>
        <v>70</v>
      </c>
      <c r="G160" s="85">
        <f>SUM(G161:G161)+507.7</f>
        <v>507.7</v>
      </c>
      <c r="H160" s="14" t="s">
        <v>330</v>
      </c>
      <c r="I160" s="15" t="s">
        <v>22</v>
      </c>
      <c r="J160" s="15"/>
      <c r="K160" s="15">
        <v>1</v>
      </c>
      <c r="L160" s="39"/>
    </row>
    <row r="161" spans="1:12" ht="28.2" thickBot="1" x14ac:dyDescent="0.3">
      <c r="A161" s="123"/>
      <c r="B161" s="78"/>
      <c r="C161" s="126"/>
      <c r="D161" s="78"/>
      <c r="E161" s="87"/>
      <c r="F161" s="87"/>
      <c r="G161" s="87"/>
      <c r="H161" s="10" t="s">
        <v>331</v>
      </c>
      <c r="I161" s="11" t="s">
        <v>29</v>
      </c>
      <c r="J161" s="11"/>
      <c r="K161" s="11"/>
      <c r="L161" s="40">
        <v>100</v>
      </c>
    </row>
    <row r="162" spans="1:12" x14ac:dyDescent="0.25">
      <c r="A162" s="121" t="s">
        <v>332</v>
      </c>
      <c r="B162" s="83" t="s">
        <v>333</v>
      </c>
      <c r="C162" s="124" t="s">
        <v>334</v>
      </c>
      <c r="D162" s="83" t="s">
        <v>40</v>
      </c>
      <c r="E162" s="85">
        <f>SUM(E163:E164)+70</f>
        <v>70</v>
      </c>
      <c r="F162" s="85">
        <f>SUM(F163:F164)+222</f>
        <v>222</v>
      </c>
      <c r="G162" s="85">
        <f>SUM(G163:G164)+250</f>
        <v>250</v>
      </c>
      <c r="H162" s="14" t="s">
        <v>330</v>
      </c>
      <c r="I162" s="15" t="s">
        <v>22</v>
      </c>
      <c r="J162" s="15">
        <v>1</v>
      </c>
      <c r="K162" s="15"/>
      <c r="L162" s="39"/>
    </row>
    <row r="163" spans="1:12" ht="27.6" x14ac:dyDescent="0.25">
      <c r="A163" s="122"/>
      <c r="B163" s="84"/>
      <c r="C163" s="125"/>
      <c r="D163" s="84"/>
      <c r="E163" s="86"/>
      <c r="F163" s="86"/>
      <c r="G163" s="86"/>
      <c r="H163" s="10" t="s">
        <v>335</v>
      </c>
      <c r="I163" s="11" t="s">
        <v>29</v>
      </c>
      <c r="J163" s="11"/>
      <c r="K163" s="11">
        <v>20</v>
      </c>
      <c r="L163" s="40">
        <v>100</v>
      </c>
    </row>
    <row r="164" spans="1:12" ht="42" thickBot="1" x14ac:dyDescent="0.3">
      <c r="A164" s="123"/>
      <c r="B164" s="78"/>
      <c r="C164" s="126"/>
      <c r="D164" s="78"/>
      <c r="E164" s="87"/>
      <c r="F164" s="87"/>
      <c r="G164" s="87"/>
      <c r="H164" s="10" t="s">
        <v>336</v>
      </c>
      <c r="I164" s="11" t="s">
        <v>29</v>
      </c>
      <c r="J164" s="11"/>
      <c r="K164" s="11">
        <v>20</v>
      </c>
      <c r="L164" s="40">
        <v>100</v>
      </c>
    </row>
    <row r="165" spans="1:12" ht="41.4" x14ac:dyDescent="0.25">
      <c r="A165" s="121" t="s">
        <v>337</v>
      </c>
      <c r="B165" s="83" t="s">
        <v>338</v>
      </c>
      <c r="C165" s="124" t="s">
        <v>339</v>
      </c>
      <c r="D165" s="83" t="s">
        <v>40</v>
      </c>
      <c r="E165" s="85">
        <f>SUM(E166:E166)+118.6</f>
        <v>118.6</v>
      </c>
      <c r="F165" s="85">
        <f>SUM(F166:F166)+2.9</f>
        <v>2.9</v>
      </c>
      <c r="G165" s="85">
        <f>SUM(G166:G166)</f>
        <v>0</v>
      </c>
      <c r="H165" s="14" t="s">
        <v>340</v>
      </c>
      <c r="I165" s="15" t="s">
        <v>29</v>
      </c>
      <c r="J165" s="15">
        <v>90</v>
      </c>
      <c r="K165" s="15">
        <v>100</v>
      </c>
      <c r="L165" s="39"/>
    </row>
    <row r="166" spans="1:12" ht="28.2" thickBot="1" x14ac:dyDescent="0.3">
      <c r="A166" s="123"/>
      <c r="B166" s="78"/>
      <c r="C166" s="126"/>
      <c r="D166" s="78"/>
      <c r="E166" s="87"/>
      <c r="F166" s="87"/>
      <c r="G166" s="87"/>
      <c r="H166" s="10" t="s">
        <v>341</v>
      </c>
      <c r="I166" s="11" t="s">
        <v>22</v>
      </c>
      <c r="J166" s="11">
        <v>1</v>
      </c>
      <c r="K166" s="11"/>
      <c r="L166" s="40"/>
    </row>
    <row r="167" spans="1:12" x14ac:dyDescent="0.25">
      <c r="A167" s="121" t="s">
        <v>342</v>
      </c>
      <c r="B167" s="83" t="s">
        <v>343</v>
      </c>
      <c r="C167" s="124" t="s">
        <v>322</v>
      </c>
      <c r="D167" s="14"/>
      <c r="E167" s="31">
        <f>SUM(E168:E169)</f>
        <v>86</v>
      </c>
      <c r="F167" s="31">
        <f>SUM(F168:F169)</f>
        <v>30</v>
      </c>
      <c r="G167" s="31">
        <f>SUM(G168:G169)</f>
        <v>30</v>
      </c>
      <c r="H167" s="14" t="s">
        <v>344</v>
      </c>
      <c r="I167" s="15" t="s">
        <v>22</v>
      </c>
      <c r="J167" s="15">
        <v>1</v>
      </c>
      <c r="K167" s="15">
        <v>1</v>
      </c>
      <c r="L167" s="39">
        <v>1</v>
      </c>
    </row>
    <row r="168" spans="1:12" ht="47.25" customHeight="1" x14ac:dyDescent="0.25">
      <c r="A168" s="122"/>
      <c r="B168" s="84"/>
      <c r="C168" s="125"/>
      <c r="D168" s="10" t="s">
        <v>40</v>
      </c>
      <c r="E168" s="32">
        <v>30</v>
      </c>
      <c r="F168" s="32">
        <v>30</v>
      </c>
      <c r="G168" s="32">
        <v>30</v>
      </c>
      <c r="H168" s="10" t="s">
        <v>345</v>
      </c>
      <c r="I168" s="11" t="s">
        <v>346</v>
      </c>
      <c r="J168" s="11">
        <v>1</v>
      </c>
      <c r="K168" s="11">
        <v>1</v>
      </c>
      <c r="L168" s="40">
        <v>1</v>
      </c>
    </row>
    <row r="169" spans="1:12" ht="28.2" thickBot="1" x14ac:dyDescent="0.3">
      <c r="A169" s="123"/>
      <c r="B169" s="78"/>
      <c r="C169" s="126"/>
      <c r="D169" s="10" t="s">
        <v>27</v>
      </c>
      <c r="E169" s="32">
        <v>56</v>
      </c>
      <c r="F169" s="32">
        <v>0</v>
      </c>
      <c r="G169" s="32">
        <v>0</v>
      </c>
      <c r="H169" s="10" t="s">
        <v>347</v>
      </c>
      <c r="I169" s="11" t="s">
        <v>29</v>
      </c>
      <c r="J169" s="11">
        <v>100</v>
      </c>
      <c r="K169" s="11"/>
      <c r="L169" s="40"/>
    </row>
    <row r="170" spans="1:12" ht="42" thickBot="1" x14ac:dyDescent="0.3">
      <c r="A170" s="12" t="s">
        <v>348</v>
      </c>
      <c r="B170" s="13" t="s">
        <v>349</v>
      </c>
      <c r="C170" s="13" t="s">
        <v>350</v>
      </c>
      <c r="D170" s="14" t="s">
        <v>40</v>
      </c>
      <c r="E170" s="33">
        <v>234.7</v>
      </c>
      <c r="F170" s="33">
        <v>281</v>
      </c>
      <c r="G170" s="33">
        <v>0</v>
      </c>
      <c r="H170" s="14" t="s">
        <v>351</v>
      </c>
      <c r="I170" s="15" t="s">
        <v>29</v>
      </c>
      <c r="J170" s="15">
        <v>46</v>
      </c>
      <c r="K170" s="15">
        <v>100</v>
      </c>
      <c r="L170" s="39"/>
    </row>
    <row r="171" spans="1:12" ht="24.75" customHeight="1" thickBot="1" x14ac:dyDescent="0.3">
      <c r="A171" s="4" t="s">
        <v>352</v>
      </c>
      <c r="B171" s="5" t="s">
        <v>353</v>
      </c>
      <c r="C171" s="92" t="s">
        <v>181</v>
      </c>
      <c r="D171" s="93"/>
      <c r="E171" s="28">
        <f>E172+E203</f>
        <v>6329</v>
      </c>
      <c r="F171" s="28">
        <f>F172+F203</f>
        <v>6040.4</v>
      </c>
      <c r="G171" s="28">
        <f>G172+G203</f>
        <v>5931</v>
      </c>
      <c r="H171" s="94"/>
      <c r="I171" s="95"/>
      <c r="J171" s="95"/>
      <c r="K171" s="95"/>
      <c r="L171" s="96"/>
    </row>
    <row r="172" spans="1:12" ht="27.6" x14ac:dyDescent="0.25">
      <c r="A172" s="127" t="s">
        <v>354</v>
      </c>
      <c r="B172" s="129" t="s">
        <v>355</v>
      </c>
      <c r="C172" s="130"/>
      <c r="D172" s="131"/>
      <c r="E172" s="88">
        <f>E173+E174+E175+E176+E182+E185+E188+E192+E194+E196+E199+E201</f>
        <v>1335</v>
      </c>
      <c r="F172" s="88">
        <f>F173+F174+F175+F176+F182+F185+F188+F192+F194+F196+F199+F201</f>
        <v>1067.3999999999999</v>
      </c>
      <c r="G172" s="88">
        <f>G173+G174+G175+G176+G182+G185+G188+G192+G194+G196+G199+G201</f>
        <v>980</v>
      </c>
      <c r="H172" s="7" t="s">
        <v>356</v>
      </c>
      <c r="I172" s="8" t="s">
        <v>29</v>
      </c>
      <c r="J172" s="49">
        <v>32.75</v>
      </c>
      <c r="K172" s="49">
        <v>33.18</v>
      </c>
      <c r="L172" s="50">
        <v>33.630000000000003</v>
      </c>
    </row>
    <row r="173" spans="1:12" ht="27.6" x14ac:dyDescent="0.25">
      <c r="A173" s="138"/>
      <c r="B173" s="139"/>
      <c r="C173" s="140"/>
      <c r="D173" s="141"/>
      <c r="E173" s="89"/>
      <c r="F173" s="89"/>
      <c r="G173" s="89"/>
      <c r="H173" s="22" t="s">
        <v>357</v>
      </c>
      <c r="I173" s="23" t="s">
        <v>29</v>
      </c>
      <c r="J173" s="51">
        <v>20.89</v>
      </c>
      <c r="K173" s="51">
        <v>17.89</v>
      </c>
      <c r="L173" s="52">
        <v>17.89</v>
      </c>
    </row>
    <row r="174" spans="1:12" x14ac:dyDescent="0.25">
      <c r="A174" s="138"/>
      <c r="B174" s="139"/>
      <c r="C174" s="140"/>
      <c r="D174" s="141"/>
      <c r="E174" s="89"/>
      <c r="F174" s="89"/>
      <c r="G174" s="89"/>
      <c r="H174" s="22" t="s">
        <v>358</v>
      </c>
      <c r="I174" s="23" t="s">
        <v>359</v>
      </c>
      <c r="J174" s="23">
        <v>21</v>
      </c>
      <c r="K174" s="23">
        <v>21</v>
      </c>
      <c r="L174" s="38">
        <v>19.5</v>
      </c>
    </row>
    <row r="175" spans="1:12" ht="28.2" thickBot="1" x14ac:dyDescent="0.3">
      <c r="A175" s="128"/>
      <c r="B175" s="132"/>
      <c r="C175" s="133"/>
      <c r="D175" s="134"/>
      <c r="E175" s="90"/>
      <c r="F175" s="90"/>
      <c r="G175" s="90"/>
      <c r="H175" s="22" t="s">
        <v>360</v>
      </c>
      <c r="I175" s="23" t="s">
        <v>361</v>
      </c>
      <c r="J175" s="51">
        <v>47.29</v>
      </c>
      <c r="K175" s="51">
        <v>46.92</v>
      </c>
      <c r="L175" s="38">
        <v>46.6</v>
      </c>
    </row>
    <row r="176" spans="1:12" ht="27.6" x14ac:dyDescent="0.25">
      <c r="A176" s="121" t="s">
        <v>362</v>
      </c>
      <c r="B176" s="83" t="s">
        <v>363</v>
      </c>
      <c r="C176" s="124" t="s">
        <v>181</v>
      </c>
      <c r="D176" s="83" t="s">
        <v>364</v>
      </c>
      <c r="E176" s="85">
        <f>SUM(E177:E181)+147</f>
        <v>147</v>
      </c>
      <c r="F176" s="85">
        <f>SUM(F177:F181)+147.1</f>
        <v>147.1</v>
      </c>
      <c r="G176" s="85">
        <f>SUM(G177:G181)+147</f>
        <v>147</v>
      </c>
      <c r="H176" s="14" t="s">
        <v>365</v>
      </c>
      <c r="I176" s="15" t="s">
        <v>366</v>
      </c>
      <c r="J176" s="15">
        <v>300</v>
      </c>
      <c r="K176" s="15">
        <v>300</v>
      </c>
      <c r="L176" s="39">
        <v>300</v>
      </c>
    </row>
    <row r="177" spans="1:12" x14ac:dyDescent="0.25">
      <c r="A177" s="122"/>
      <c r="B177" s="84"/>
      <c r="C177" s="125"/>
      <c r="D177" s="84"/>
      <c r="E177" s="86"/>
      <c r="F177" s="86"/>
      <c r="G177" s="86"/>
      <c r="H177" s="10" t="s">
        <v>367</v>
      </c>
      <c r="I177" s="11" t="s">
        <v>368</v>
      </c>
      <c r="J177" s="11">
        <v>0.5</v>
      </c>
      <c r="K177" s="11">
        <v>0.5</v>
      </c>
      <c r="L177" s="40">
        <v>0.5</v>
      </c>
    </row>
    <row r="178" spans="1:12" ht="27.6" x14ac:dyDescent="0.25">
      <c r="A178" s="122"/>
      <c r="B178" s="84"/>
      <c r="C178" s="125"/>
      <c r="D178" s="84"/>
      <c r="E178" s="86"/>
      <c r="F178" s="86"/>
      <c r="G178" s="86"/>
      <c r="H178" s="10" t="s">
        <v>369</v>
      </c>
      <c r="I178" s="11" t="s">
        <v>370</v>
      </c>
      <c r="J178" s="42">
        <v>108915</v>
      </c>
      <c r="K178" s="42">
        <v>94756</v>
      </c>
      <c r="L178" s="44">
        <v>82438</v>
      </c>
    </row>
    <row r="179" spans="1:12" x14ac:dyDescent="0.25">
      <c r="A179" s="122"/>
      <c r="B179" s="84"/>
      <c r="C179" s="125"/>
      <c r="D179" s="84"/>
      <c r="E179" s="86"/>
      <c r="F179" s="86"/>
      <c r="G179" s="86"/>
      <c r="H179" s="10" t="s">
        <v>371</v>
      </c>
      <c r="I179" s="11" t="s">
        <v>22</v>
      </c>
      <c r="J179" s="11">
        <v>150</v>
      </c>
      <c r="K179" s="11">
        <v>150</v>
      </c>
      <c r="L179" s="40">
        <v>150</v>
      </c>
    </row>
    <row r="180" spans="1:12" ht="27.6" x14ac:dyDescent="0.25">
      <c r="A180" s="122"/>
      <c r="B180" s="84"/>
      <c r="C180" s="125"/>
      <c r="D180" s="84"/>
      <c r="E180" s="86"/>
      <c r="F180" s="86"/>
      <c r="G180" s="86"/>
      <c r="H180" s="10" t="s">
        <v>372</v>
      </c>
      <c r="I180" s="11" t="s">
        <v>22</v>
      </c>
      <c r="J180" s="11"/>
      <c r="K180" s="11">
        <v>1</v>
      </c>
      <c r="L180" s="40"/>
    </row>
    <row r="181" spans="1:12" ht="28.2" thickBot="1" x14ac:dyDescent="0.3">
      <c r="A181" s="123"/>
      <c r="B181" s="78"/>
      <c r="C181" s="126"/>
      <c r="D181" s="78"/>
      <c r="E181" s="87"/>
      <c r="F181" s="87"/>
      <c r="G181" s="87"/>
      <c r="H181" s="10" t="s">
        <v>373</v>
      </c>
      <c r="I181" s="11" t="s">
        <v>368</v>
      </c>
      <c r="J181" s="11"/>
      <c r="K181" s="11">
        <v>5</v>
      </c>
      <c r="L181" s="40"/>
    </row>
    <row r="182" spans="1:12" ht="41.4" x14ac:dyDescent="0.25">
      <c r="A182" s="121" t="s">
        <v>374</v>
      </c>
      <c r="B182" s="83" t="s">
        <v>375</v>
      </c>
      <c r="C182" s="124" t="s">
        <v>181</v>
      </c>
      <c r="D182" s="14"/>
      <c r="E182" s="31">
        <f>SUM(E183:E184)</f>
        <v>230</v>
      </c>
      <c r="F182" s="31">
        <f>SUM(F183:F184)</f>
        <v>230</v>
      </c>
      <c r="G182" s="31">
        <f>SUM(G183:G184)</f>
        <v>230</v>
      </c>
      <c r="H182" s="14" t="s">
        <v>376</v>
      </c>
      <c r="I182" s="15" t="s">
        <v>29</v>
      </c>
      <c r="J182" s="15">
        <v>100</v>
      </c>
      <c r="K182" s="15">
        <v>100</v>
      </c>
      <c r="L182" s="39">
        <v>100</v>
      </c>
    </row>
    <row r="183" spans="1:12" ht="27.6" x14ac:dyDescent="0.25">
      <c r="A183" s="122"/>
      <c r="B183" s="84"/>
      <c r="C183" s="125"/>
      <c r="D183" s="10" t="s">
        <v>40</v>
      </c>
      <c r="E183" s="32">
        <v>120</v>
      </c>
      <c r="F183" s="32">
        <v>120</v>
      </c>
      <c r="G183" s="32">
        <v>120</v>
      </c>
      <c r="H183" s="10" t="s">
        <v>377</v>
      </c>
      <c r="I183" s="11" t="s">
        <v>29</v>
      </c>
      <c r="J183" s="11">
        <v>0.45</v>
      </c>
      <c r="K183" s="11">
        <v>0.45</v>
      </c>
      <c r="L183" s="40">
        <v>1.45</v>
      </c>
    </row>
    <row r="184" spans="1:12" ht="14.4" thickBot="1" x14ac:dyDescent="0.3">
      <c r="A184" s="123"/>
      <c r="B184" s="78"/>
      <c r="C184" s="126"/>
      <c r="D184" s="10" t="s">
        <v>364</v>
      </c>
      <c r="E184" s="32">
        <v>110</v>
      </c>
      <c r="F184" s="32">
        <v>110</v>
      </c>
      <c r="G184" s="32">
        <v>110</v>
      </c>
      <c r="H184" s="10"/>
      <c r="I184" s="11"/>
      <c r="J184" s="11"/>
      <c r="K184" s="11"/>
      <c r="L184" s="40"/>
    </row>
    <row r="185" spans="1:12" x14ac:dyDescent="0.25">
      <c r="A185" s="121" t="s">
        <v>378</v>
      </c>
      <c r="B185" s="83" t="s">
        <v>379</v>
      </c>
      <c r="C185" s="142" t="s">
        <v>181</v>
      </c>
      <c r="D185" s="14"/>
      <c r="E185" s="31">
        <f>SUM(E186:E187)</f>
        <v>500</v>
      </c>
      <c r="F185" s="31">
        <f>SUM(F186:F187)</f>
        <v>500</v>
      </c>
      <c r="G185" s="31">
        <f>SUM(G186:G187)</f>
        <v>450</v>
      </c>
      <c r="H185" s="14" t="s">
        <v>380</v>
      </c>
      <c r="I185" s="15" t="s">
        <v>22</v>
      </c>
      <c r="J185" s="15">
        <v>80</v>
      </c>
      <c r="K185" s="15">
        <v>80</v>
      </c>
      <c r="L185" s="39">
        <v>80</v>
      </c>
    </row>
    <row r="186" spans="1:12" ht="27.6" x14ac:dyDescent="0.25">
      <c r="A186" s="122"/>
      <c r="B186" s="84"/>
      <c r="C186" s="143"/>
      <c r="D186" s="10" t="s">
        <v>40</v>
      </c>
      <c r="E186" s="32">
        <v>485</v>
      </c>
      <c r="F186" s="32">
        <v>486.1</v>
      </c>
      <c r="G186" s="32">
        <v>436</v>
      </c>
      <c r="H186" s="10" t="s">
        <v>381</v>
      </c>
      <c r="I186" s="11" t="s">
        <v>29</v>
      </c>
      <c r="J186" s="11">
        <v>60</v>
      </c>
      <c r="K186" s="11">
        <v>70</v>
      </c>
      <c r="L186" s="40">
        <v>80</v>
      </c>
    </row>
    <row r="187" spans="1:12" ht="28.2" thickBot="1" x14ac:dyDescent="0.3">
      <c r="A187" s="123"/>
      <c r="B187" s="78"/>
      <c r="C187" s="144"/>
      <c r="D187" s="10" t="s">
        <v>364</v>
      </c>
      <c r="E187" s="32">
        <v>15</v>
      </c>
      <c r="F187" s="32">
        <v>13.9</v>
      </c>
      <c r="G187" s="32">
        <v>14</v>
      </c>
      <c r="H187" s="10" t="s">
        <v>382</v>
      </c>
      <c r="I187" s="11" t="s">
        <v>370</v>
      </c>
      <c r="J187" s="42">
        <v>20000</v>
      </c>
      <c r="K187" s="42">
        <v>20000</v>
      </c>
      <c r="L187" s="44">
        <v>20000</v>
      </c>
    </row>
    <row r="188" spans="1:12" ht="27.6" x14ac:dyDescent="0.25">
      <c r="A188" s="121" t="s">
        <v>383</v>
      </c>
      <c r="B188" s="83" t="s">
        <v>384</v>
      </c>
      <c r="C188" s="124" t="s">
        <v>181</v>
      </c>
      <c r="D188" s="14"/>
      <c r="E188" s="31">
        <f>SUM(E189:E191)</f>
        <v>100</v>
      </c>
      <c r="F188" s="31">
        <f>SUM(F189:F191)</f>
        <v>100</v>
      </c>
      <c r="G188" s="31">
        <f>SUM(G189:G191)</f>
        <v>100</v>
      </c>
      <c r="H188" s="14" t="s">
        <v>385</v>
      </c>
      <c r="I188" s="15" t="s">
        <v>386</v>
      </c>
      <c r="J188" s="15">
        <v>242</v>
      </c>
      <c r="K188" s="15">
        <v>242</v>
      </c>
      <c r="L188" s="39">
        <v>242</v>
      </c>
    </row>
    <row r="189" spans="1:12" x14ac:dyDescent="0.25">
      <c r="A189" s="122"/>
      <c r="B189" s="84"/>
      <c r="C189" s="125"/>
      <c r="D189" s="77" t="s">
        <v>364</v>
      </c>
      <c r="E189" s="108">
        <v>100</v>
      </c>
      <c r="F189" s="108">
        <v>100</v>
      </c>
      <c r="G189" s="108">
        <v>100</v>
      </c>
      <c r="H189" s="10" t="s">
        <v>387</v>
      </c>
      <c r="I189" s="11" t="s">
        <v>29</v>
      </c>
      <c r="J189" s="11">
        <v>20</v>
      </c>
      <c r="K189" s="11">
        <v>20</v>
      </c>
      <c r="L189" s="40">
        <v>100</v>
      </c>
    </row>
    <row r="190" spans="1:12" ht="27.6" x14ac:dyDescent="0.25">
      <c r="A190" s="122"/>
      <c r="B190" s="84"/>
      <c r="C190" s="125"/>
      <c r="D190" s="84"/>
      <c r="E190" s="109"/>
      <c r="F190" s="109"/>
      <c r="G190" s="109"/>
      <c r="H190" s="10" t="s">
        <v>388</v>
      </c>
      <c r="I190" s="11" t="s">
        <v>386</v>
      </c>
      <c r="J190" s="11">
        <v>9</v>
      </c>
      <c r="K190" s="11">
        <v>8</v>
      </c>
      <c r="L190" s="40">
        <v>7</v>
      </c>
    </row>
    <row r="191" spans="1:12" ht="14.4" thickBot="1" x14ac:dyDescent="0.3">
      <c r="A191" s="123"/>
      <c r="B191" s="78"/>
      <c r="C191" s="126"/>
      <c r="D191" s="78"/>
      <c r="E191" s="110"/>
      <c r="F191" s="110"/>
      <c r="G191" s="110"/>
      <c r="H191" s="10" t="s">
        <v>389</v>
      </c>
      <c r="I191" s="11" t="s">
        <v>22</v>
      </c>
      <c r="J191" s="11">
        <v>1</v>
      </c>
      <c r="K191" s="11">
        <v>1</v>
      </c>
      <c r="L191" s="40">
        <v>1</v>
      </c>
    </row>
    <row r="192" spans="1:12" ht="30" customHeight="1" x14ac:dyDescent="0.25">
      <c r="A192" s="121" t="s">
        <v>390</v>
      </c>
      <c r="B192" s="83" t="s">
        <v>391</v>
      </c>
      <c r="C192" s="124" t="s">
        <v>392</v>
      </c>
      <c r="D192" s="14"/>
      <c r="E192" s="31">
        <f>SUM(E193:E193)</f>
        <v>5</v>
      </c>
      <c r="F192" s="31">
        <f>SUM(F193:F193)</f>
        <v>5</v>
      </c>
      <c r="G192" s="31">
        <f>SUM(G193:G193)</f>
        <v>5</v>
      </c>
      <c r="H192" s="83" t="s">
        <v>393</v>
      </c>
      <c r="I192" s="98" t="s">
        <v>29</v>
      </c>
      <c r="J192" s="98">
        <v>100</v>
      </c>
      <c r="K192" s="98">
        <v>100</v>
      </c>
      <c r="L192" s="99">
        <v>100</v>
      </c>
    </row>
    <row r="193" spans="1:12" ht="27.75" customHeight="1" thickBot="1" x14ac:dyDescent="0.3">
      <c r="A193" s="123"/>
      <c r="B193" s="78"/>
      <c r="C193" s="126"/>
      <c r="D193" s="10" t="s">
        <v>364</v>
      </c>
      <c r="E193" s="32">
        <v>5</v>
      </c>
      <c r="F193" s="32">
        <v>5</v>
      </c>
      <c r="G193" s="32">
        <v>5</v>
      </c>
      <c r="H193" s="78"/>
      <c r="I193" s="80"/>
      <c r="J193" s="80"/>
      <c r="K193" s="80"/>
      <c r="L193" s="82"/>
    </row>
    <row r="194" spans="1:12" ht="27.6" x14ac:dyDescent="0.25">
      <c r="A194" s="121" t="s">
        <v>394</v>
      </c>
      <c r="B194" s="83" t="s">
        <v>395</v>
      </c>
      <c r="C194" s="124" t="s">
        <v>181</v>
      </c>
      <c r="D194" s="83" t="s">
        <v>40</v>
      </c>
      <c r="E194" s="85">
        <f>SUM(E195:E195)+57</f>
        <v>57</v>
      </c>
      <c r="F194" s="85">
        <f>SUM(F195:F195)+35</f>
        <v>35</v>
      </c>
      <c r="G194" s="85">
        <f>SUM(G195:G195)+35</f>
        <v>35</v>
      </c>
      <c r="H194" s="14" t="s">
        <v>396</v>
      </c>
      <c r="I194" s="15" t="s">
        <v>220</v>
      </c>
      <c r="J194" s="15">
        <v>19</v>
      </c>
      <c r="K194" s="15">
        <v>19</v>
      </c>
      <c r="L194" s="39">
        <v>19</v>
      </c>
    </row>
    <row r="195" spans="1:12" ht="22.5" customHeight="1" thickBot="1" x14ac:dyDescent="0.3">
      <c r="A195" s="123"/>
      <c r="B195" s="78"/>
      <c r="C195" s="126"/>
      <c r="D195" s="78"/>
      <c r="E195" s="87"/>
      <c r="F195" s="87"/>
      <c r="G195" s="87"/>
      <c r="H195" s="10" t="s">
        <v>397</v>
      </c>
      <c r="I195" s="11" t="s">
        <v>22</v>
      </c>
      <c r="J195" s="11">
        <v>10</v>
      </c>
      <c r="K195" s="11">
        <v>20</v>
      </c>
      <c r="L195" s="40">
        <v>30</v>
      </c>
    </row>
    <row r="196" spans="1:12" ht="20.25" customHeight="1" x14ac:dyDescent="0.25">
      <c r="A196" s="121" t="s">
        <v>398</v>
      </c>
      <c r="B196" s="83" t="s">
        <v>399</v>
      </c>
      <c r="C196" s="124" t="s">
        <v>181</v>
      </c>
      <c r="D196" s="14"/>
      <c r="E196" s="31">
        <f>SUM(E197:E198)</f>
        <v>13</v>
      </c>
      <c r="F196" s="31">
        <f>SUM(F197:F198)</f>
        <v>13</v>
      </c>
      <c r="G196" s="31">
        <f>SUM(G197:G198)</f>
        <v>13</v>
      </c>
      <c r="H196" s="14" t="s">
        <v>400</v>
      </c>
      <c r="I196" s="15" t="s">
        <v>22</v>
      </c>
      <c r="J196" s="15">
        <v>5</v>
      </c>
      <c r="K196" s="15">
        <v>5</v>
      </c>
      <c r="L196" s="39">
        <v>5</v>
      </c>
    </row>
    <row r="197" spans="1:12" ht="27.6" x14ac:dyDescent="0.25">
      <c r="A197" s="122"/>
      <c r="B197" s="84"/>
      <c r="C197" s="125"/>
      <c r="D197" s="77" t="s">
        <v>364</v>
      </c>
      <c r="E197" s="108">
        <v>13</v>
      </c>
      <c r="F197" s="108">
        <v>13</v>
      </c>
      <c r="G197" s="108">
        <v>13</v>
      </c>
      <c r="H197" s="10" t="s">
        <v>401</v>
      </c>
      <c r="I197" s="11" t="s">
        <v>22</v>
      </c>
      <c r="J197" s="11">
        <v>2</v>
      </c>
      <c r="K197" s="11">
        <v>2</v>
      </c>
      <c r="L197" s="40">
        <v>2</v>
      </c>
    </row>
    <row r="198" spans="1:12" ht="28.2" thickBot="1" x14ac:dyDescent="0.3">
      <c r="A198" s="123"/>
      <c r="B198" s="78"/>
      <c r="C198" s="126"/>
      <c r="D198" s="78"/>
      <c r="E198" s="110"/>
      <c r="F198" s="110"/>
      <c r="G198" s="110"/>
      <c r="H198" s="10" t="s">
        <v>402</v>
      </c>
      <c r="I198" s="11" t="s">
        <v>22</v>
      </c>
      <c r="J198" s="11">
        <v>2</v>
      </c>
      <c r="K198" s="11">
        <v>2</v>
      </c>
      <c r="L198" s="40">
        <v>2</v>
      </c>
    </row>
    <row r="199" spans="1:12" ht="30.75" customHeight="1" x14ac:dyDescent="0.25">
      <c r="A199" s="121" t="s">
        <v>403</v>
      </c>
      <c r="B199" s="83" t="s">
        <v>404</v>
      </c>
      <c r="C199" s="124" t="s">
        <v>405</v>
      </c>
      <c r="D199" s="83" t="s">
        <v>40</v>
      </c>
      <c r="E199" s="85">
        <f>SUM(E200:E200)+33.7</f>
        <v>33.700000000000003</v>
      </c>
      <c r="F199" s="85">
        <f>SUM(F200:F200)+21</f>
        <v>21</v>
      </c>
      <c r="G199" s="85">
        <f>SUM(G200:G200)</f>
        <v>0</v>
      </c>
      <c r="H199" s="14" t="s">
        <v>406</v>
      </c>
      <c r="I199" s="15" t="s">
        <v>22</v>
      </c>
      <c r="J199" s="15">
        <v>1</v>
      </c>
      <c r="K199" s="15"/>
      <c r="L199" s="39"/>
    </row>
    <row r="200" spans="1:12" ht="24" customHeight="1" thickBot="1" x14ac:dyDescent="0.3">
      <c r="A200" s="123"/>
      <c r="B200" s="78"/>
      <c r="C200" s="126"/>
      <c r="D200" s="78"/>
      <c r="E200" s="87"/>
      <c r="F200" s="87"/>
      <c r="G200" s="87"/>
      <c r="H200" s="10" t="s">
        <v>407</v>
      </c>
      <c r="I200" s="11" t="s">
        <v>22</v>
      </c>
      <c r="J200" s="11"/>
      <c r="K200" s="11">
        <v>1</v>
      </c>
      <c r="L200" s="40"/>
    </row>
    <row r="201" spans="1:12" ht="33" customHeight="1" x14ac:dyDescent="0.25">
      <c r="A201" s="121" t="s">
        <v>408</v>
      </c>
      <c r="B201" s="83" t="s">
        <v>409</v>
      </c>
      <c r="C201" s="124" t="s">
        <v>405</v>
      </c>
      <c r="D201" s="83" t="s">
        <v>40</v>
      </c>
      <c r="E201" s="85">
        <f>SUM(E202:E202)+249.3</f>
        <v>249.3</v>
      </c>
      <c r="F201" s="85">
        <f>SUM(F202:F202)+16.3</f>
        <v>16.3</v>
      </c>
      <c r="G201" s="85">
        <f>SUM(G202:G202)</f>
        <v>0</v>
      </c>
      <c r="H201" s="14" t="s">
        <v>410</v>
      </c>
      <c r="I201" s="15" t="s">
        <v>29</v>
      </c>
      <c r="J201" s="15">
        <v>80</v>
      </c>
      <c r="K201" s="15">
        <v>100</v>
      </c>
      <c r="L201" s="39"/>
    </row>
    <row r="202" spans="1:12" ht="14.4" thickBot="1" x14ac:dyDescent="0.3">
      <c r="A202" s="123"/>
      <c r="B202" s="78"/>
      <c r="C202" s="126"/>
      <c r="D202" s="78"/>
      <c r="E202" s="87"/>
      <c r="F202" s="87"/>
      <c r="G202" s="87"/>
      <c r="H202" s="10" t="s">
        <v>411</v>
      </c>
      <c r="I202" s="11" t="s">
        <v>22</v>
      </c>
      <c r="J202" s="11">
        <v>1</v>
      </c>
      <c r="K202" s="11"/>
      <c r="L202" s="40"/>
    </row>
    <row r="203" spans="1:12" ht="27.6" x14ac:dyDescent="0.25">
      <c r="A203" s="127" t="s">
        <v>412</v>
      </c>
      <c r="B203" s="129" t="s">
        <v>413</v>
      </c>
      <c r="C203" s="130"/>
      <c r="D203" s="131"/>
      <c r="E203" s="88">
        <f>SUM(E204:E205)</f>
        <v>4994</v>
      </c>
      <c r="F203" s="88">
        <f>SUM(F204:F205)</f>
        <v>4973</v>
      </c>
      <c r="G203" s="88">
        <f>SUM(G204:G205)</f>
        <v>4951</v>
      </c>
      <c r="H203" s="7" t="s">
        <v>414</v>
      </c>
      <c r="I203" s="8" t="s">
        <v>29</v>
      </c>
      <c r="J203" s="8">
        <v>9</v>
      </c>
      <c r="K203" s="8">
        <v>8</v>
      </c>
      <c r="L203" s="43">
        <v>7</v>
      </c>
    </row>
    <row r="204" spans="1:12" ht="21.75" customHeight="1" thickBot="1" x14ac:dyDescent="0.3">
      <c r="A204" s="128"/>
      <c r="B204" s="132"/>
      <c r="C204" s="133"/>
      <c r="D204" s="134"/>
      <c r="E204" s="90"/>
      <c r="F204" s="90"/>
      <c r="G204" s="90"/>
      <c r="H204" s="22" t="s">
        <v>415</v>
      </c>
      <c r="I204" s="23" t="s">
        <v>416</v>
      </c>
      <c r="J204" s="23">
        <v>358</v>
      </c>
      <c r="K204" s="23">
        <v>358</v>
      </c>
      <c r="L204" s="38">
        <v>358</v>
      </c>
    </row>
    <row r="205" spans="1:12" ht="27.6" x14ac:dyDescent="0.25">
      <c r="A205" s="121" t="s">
        <v>417</v>
      </c>
      <c r="B205" s="83" t="s">
        <v>418</v>
      </c>
      <c r="C205" s="124" t="s">
        <v>419</v>
      </c>
      <c r="D205" s="14"/>
      <c r="E205" s="31">
        <f>SUM(E206:E207)</f>
        <v>4994</v>
      </c>
      <c r="F205" s="31">
        <f>SUM(F206:F207)</f>
        <v>4973</v>
      </c>
      <c r="G205" s="31">
        <f>SUM(G206:G207)</f>
        <v>4951</v>
      </c>
      <c r="H205" s="14" t="s">
        <v>420</v>
      </c>
      <c r="I205" s="15" t="s">
        <v>29</v>
      </c>
      <c r="J205" s="15">
        <v>52</v>
      </c>
      <c r="K205" s="15">
        <v>53</v>
      </c>
      <c r="L205" s="39">
        <v>54</v>
      </c>
    </row>
    <row r="206" spans="1:12" x14ac:dyDescent="0.25">
      <c r="A206" s="122"/>
      <c r="B206" s="84"/>
      <c r="C206" s="125"/>
      <c r="D206" s="10" t="s">
        <v>40</v>
      </c>
      <c r="E206" s="32">
        <v>4960</v>
      </c>
      <c r="F206" s="32">
        <v>4938</v>
      </c>
      <c r="G206" s="32">
        <v>4916</v>
      </c>
      <c r="H206" s="77" t="s">
        <v>421</v>
      </c>
      <c r="I206" s="79" t="s">
        <v>422</v>
      </c>
      <c r="J206" s="106">
        <v>38000</v>
      </c>
      <c r="K206" s="106">
        <v>38000</v>
      </c>
      <c r="L206" s="107">
        <v>38000</v>
      </c>
    </row>
    <row r="207" spans="1:12" ht="14.4" thickBot="1" x14ac:dyDescent="0.3">
      <c r="A207" s="123"/>
      <c r="B207" s="78"/>
      <c r="C207" s="126"/>
      <c r="D207" s="10" t="s">
        <v>364</v>
      </c>
      <c r="E207" s="32">
        <v>34</v>
      </c>
      <c r="F207" s="32">
        <v>35</v>
      </c>
      <c r="G207" s="32">
        <v>35</v>
      </c>
      <c r="H207" s="78"/>
      <c r="I207" s="80"/>
      <c r="J207" s="102"/>
      <c r="K207" s="102"/>
      <c r="L207" s="105"/>
    </row>
    <row r="208" spans="1:12" ht="28.2" thickBot="1" x14ac:dyDescent="0.3">
      <c r="A208" s="4" t="s">
        <v>423</v>
      </c>
      <c r="B208" s="5" t="s">
        <v>424</v>
      </c>
      <c r="C208" s="92" t="s">
        <v>425</v>
      </c>
      <c r="D208" s="93"/>
      <c r="E208" s="28">
        <f>E209+E251+E299</f>
        <v>59638.5</v>
      </c>
      <c r="F208" s="28">
        <f>F209+F251+F299</f>
        <v>63251.4</v>
      </c>
      <c r="G208" s="28">
        <f>G209+G251+G299</f>
        <v>56694.1</v>
      </c>
      <c r="H208" s="94"/>
      <c r="I208" s="95"/>
      <c r="J208" s="95"/>
      <c r="K208" s="95"/>
      <c r="L208" s="96"/>
    </row>
    <row r="209" spans="1:12" ht="42" thickBot="1" x14ac:dyDescent="0.3">
      <c r="A209" s="6" t="s">
        <v>426</v>
      </c>
      <c r="B209" s="111" t="s">
        <v>427</v>
      </c>
      <c r="C209" s="112"/>
      <c r="D209" s="113"/>
      <c r="E209" s="29">
        <f>E210+E212+E230+E232+E233+E239+E242+E244+E247+E248+E249+E250</f>
        <v>3290</v>
      </c>
      <c r="F209" s="29">
        <f>F210+F212+F230+F232+F233+F239+F242+F244+F247+F248+F249+F250</f>
        <v>2118</v>
      </c>
      <c r="G209" s="29">
        <f>G210+G212+G230+G232+G233+G239+G242+G244+G247+G248+G249+G250</f>
        <v>2025</v>
      </c>
      <c r="H209" s="7" t="s">
        <v>428</v>
      </c>
      <c r="I209" s="8" t="s">
        <v>29</v>
      </c>
      <c r="J209" s="8">
        <v>4</v>
      </c>
      <c r="K209" s="8">
        <v>5</v>
      </c>
      <c r="L209" s="43">
        <v>6</v>
      </c>
    </row>
    <row r="210" spans="1:12" ht="25.5" customHeight="1" x14ac:dyDescent="0.25">
      <c r="A210" s="121" t="s">
        <v>429</v>
      </c>
      <c r="B210" s="83" t="s">
        <v>430</v>
      </c>
      <c r="C210" s="124" t="s">
        <v>431</v>
      </c>
      <c r="D210" s="83" t="s">
        <v>40</v>
      </c>
      <c r="E210" s="85">
        <f>SUM(E211:E211)</f>
        <v>0</v>
      </c>
      <c r="F210" s="85">
        <f>SUM(F211:F211)+20</f>
        <v>20</v>
      </c>
      <c r="G210" s="85">
        <f>SUM(G211:G211)+20</f>
        <v>20</v>
      </c>
      <c r="H210" s="14" t="s">
        <v>432</v>
      </c>
      <c r="I210" s="15" t="s">
        <v>22</v>
      </c>
      <c r="J210" s="15">
        <v>1</v>
      </c>
      <c r="K210" s="15"/>
      <c r="L210" s="39"/>
    </row>
    <row r="211" spans="1:12" ht="28.5" customHeight="1" thickBot="1" x14ac:dyDescent="0.3">
      <c r="A211" s="123"/>
      <c r="B211" s="78"/>
      <c r="C211" s="126"/>
      <c r="D211" s="78"/>
      <c r="E211" s="87"/>
      <c r="F211" s="87"/>
      <c r="G211" s="87"/>
      <c r="H211" s="10" t="s">
        <v>433</v>
      </c>
      <c r="I211" s="11" t="s">
        <v>22</v>
      </c>
      <c r="J211" s="11"/>
      <c r="K211" s="11">
        <v>1</v>
      </c>
      <c r="L211" s="40">
        <v>1</v>
      </c>
    </row>
    <row r="212" spans="1:12" x14ac:dyDescent="0.25">
      <c r="A212" s="121" t="s">
        <v>434</v>
      </c>
      <c r="B212" s="83" t="s">
        <v>435</v>
      </c>
      <c r="C212" s="124" t="s">
        <v>431</v>
      </c>
      <c r="D212" s="83" t="s">
        <v>40</v>
      </c>
      <c r="E212" s="85">
        <f>SUM(E213:E229)+250</f>
        <v>250</v>
      </c>
      <c r="F212" s="85">
        <f>SUM(F213:F229)+270</f>
        <v>270</v>
      </c>
      <c r="G212" s="85">
        <f>SUM(G213:G229)+170</f>
        <v>170</v>
      </c>
      <c r="H212" s="14" t="s">
        <v>436</v>
      </c>
      <c r="I212" s="15" t="s">
        <v>22</v>
      </c>
      <c r="J212" s="15">
        <v>14</v>
      </c>
      <c r="K212" s="15">
        <v>15</v>
      </c>
      <c r="L212" s="39">
        <v>15</v>
      </c>
    </row>
    <row r="213" spans="1:12" ht="27.6" x14ac:dyDescent="0.25">
      <c r="A213" s="122"/>
      <c r="B213" s="84"/>
      <c r="C213" s="125"/>
      <c r="D213" s="84"/>
      <c r="E213" s="86"/>
      <c r="F213" s="86"/>
      <c r="G213" s="86"/>
      <c r="H213" s="10" t="s">
        <v>437</v>
      </c>
      <c r="I213" s="11" t="s">
        <v>29</v>
      </c>
      <c r="J213" s="11">
        <v>100</v>
      </c>
      <c r="K213" s="11"/>
      <c r="L213" s="40"/>
    </row>
    <row r="214" spans="1:12" ht="30" customHeight="1" x14ac:dyDescent="0.25">
      <c r="A214" s="122"/>
      <c r="B214" s="84"/>
      <c r="C214" s="125"/>
      <c r="D214" s="84"/>
      <c r="E214" s="86"/>
      <c r="F214" s="86"/>
      <c r="G214" s="86"/>
      <c r="H214" s="10" t="s">
        <v>438</v>
      </c>
      <c r="I214" s="11" t="s">
        <v>29</v>
      </c>
      <c r="J214" s="11">
        <v>100</v>
      </c>
      <c r="K214" s="11"/>
      <c r="L214" s="40"/>
    </row>
    <row r="215" spans="1:12" ht="27.6" x14ac:dyDescent="0.25">
      <c r="A215" s="122"/>
      <c r="B215" s="84"/>
      <c r="C215" s="125"/>
      <c r="D215" s="84"/>
      <c r="E215" s="86"/>
      <c r="F215" s="86"/>
      <c r="G215" s="86"/>
      <c r="H215" s="10" t="s">
        <v>439</v>
      </c>
      <c r="I215" s="11" t="s">
        <v>29</v>
      </c>
      <c r="J215" s="11">
        <v>100</v>
      </c>
      <c r="K215" s="11"/>
      <c r="L215" s="40"/>
    </row>
    <row r="216" spans="1:12" ht="41.4" x14ac:dyDescent="0.25">
      <c r="A216" s="122"/>
      <c r="B216" s="84"/>
      <c r="C216" s="125"/>
      <c r="D216" s="84"/>
      <c r="E216" s="86"/>
      <c r="F216" s="86"/>
      <c r="G216" s="86"/>
      <c r="H216" s="10" t="s">
        <v>440</v>
      </c>
      <c r="I216" s="11" t="s">
        <v>29</v>
      </c>
      <c r="J216" s="11">
        <v>100</v>
      </c>
      <c r="K216" s="11"/>
      <c r="L216" s="40"/>
    </row>
    <row r="217" spans="1:12" ht="27.6" x14ac:dyDescent="0.25">
      <c r="A217" s="122"/>
      <c r="B217" s="84"/>
      <c r="C217" s="125"/>
      <c r="D217" s="84"/>
      <c r="E217" s="86"/>
      <c r="F217" s="86"/>
      <c r="G217" s="86"/>
      <c r="H217" s="10" t="s">
        <v>441</v>
      </c>
      <c r="I217" s="11" t="s">
        <v>29</v>
      </c>
      <c r="J217" s="11">
        <v>100</v>
      </c>
      <c r="K217" s="11"/>
      <c r="L217" s="40"/>
    </row>
    <row r="218" spans="1:12" ht="41.4" x14ac:dyDescent="0.25">
      <c r="A218" s="122"/>
      <c r="B218" s="84"/>
      <c r="C218" s="125"/>
      <c r="D218" s="84"/>
      <c r="E218" s="86"/>
      <c r="F218" s="86"/>
      <c r="G218" s="86"/>
      <c r="H218" s="10" t="s">
        <v>442</v>
      </c>
      <c r="I218" s="11" t="s">
        <v>29</v>
      </c>
      <c r="J218" s="11">
        <v>100</v>
      </c>
      <c r="K218" s="11"/>
      <c r="L218" s="40"/>
    </row>
    <row r="219" spans="1:12" ht="32.25" customHeight="1" x14ac:dyDescent="0.25">
      <c r="A219" s="122"/>
      <c r="B219" s="84"/>
      <c r="C219" s="125"/>
      <c r="D219" s="84"/>
      <c r="E219" s="86"/>
      <c r="F219" s="86"/>
      <c r="G219" s="86"/>
      <c r="H219" s="10" t="s">
        <v>443</v>
      </c>
      <c r="I219" s="11" t="s">
        <v>29</v>
      </c>
      <c r="J219" s="11">
        <v>100</v>
      </c>
      <c r="K219" s="11"/>
      <c r="L219" s="40"/>
    </row>
    <row r="220" spans="1:12" ht="41.4" x14ac:dyDescent="0.25">
      <c r="A220" s="122"/>
      <c r="B220" s="84"/>
      <c r="C220" s="125"/>
      <c r="D220" s="84"/>
      <c r="E220" s="86"/>
      <c r="F220" s="86"/>
      <c r="G220" s="86"/>
      <c r="H220" s="10" t="s">
        <v>444</v>
      </c>
      <c r="I220" s="11" t="s">
        <v>29</v>
      </c>
      <c r="J220" s="11">
        <v>100</v>
      </c>
      <c r="K220" s="11"/>
      <c r="L220" s="40"/>
    </row>
    <row r="221" spans="1:12" ht="27.6" x14ac:dyDescent="0.25">
      <c r="A221" s="122"/>
      <c r="B221" s="84"/>
      <c r="C221" s="125"/>
      <c r="D221" s="84"/>
      <c r="E221" s="86"/>
      <c r="F221" s="86"/>
      <c r="G221" s="86"/>
      <c r="H221" s="10" t="s">
        <v>445</v>
      </c>
      <c r="I221" s="11" t="s">
        <v>29</v>
      </c>
      <c r="J221" s="11">
        <v>100</v>
      </c>
      <c r="K221" s="11"/>
      <c r="L221" s="40"/>
    </row>
    <row r="222" spans="1:12" ht="55.2" x14ac:dyDescent="0.25">
      <c r="A222" s="122"/>
      <c r="B222" s="84"/>
      <c r="C222" s="125"/>
      <c r="D222" s="84"/>
      <c r="E222" s="86"/>
      <c r="F222" s="86"/>
      <c r="G222" s="86"/>
      <c r="H222" s="10" t="s">
        <v>446</v>
      </c>
      <c r="I222" s="11" t="s">
        <v>29</v>
      </c>
      <c r="J222" s="11">
        <v>100</v>
      </c>
      <c r="K222" s="11"/>
      <c r="L222" s="40"/>
    </row>
    <row r="223" spans="1:12" ht="41.4" x14ac:dyDescent="0.25">
      <c r="A223" s="122"/>
      <c r="B223" s="84"/>
      <c r="C223" s="125"/>
      <c r="D223" s="84"/>
      <c r="E223" s="86"/>
      <c r="F223" s="86"/>
      <c r="G223" s="86"/>
      <c r="H223" s="10" t="s">
        <v>447</v>
      </c>
      <c r="I223" s="11" t="s">
        <v>29</v>
      </c>
      <c r="J223" s="11">
        <v>100</v>
      </c>
      <c r="K223" s="11"/>
      <c r="L223" s="40"/>
    </row>
    <row r="224" spans="1:12" ht="41.4" x14ac:dyDescent="0.25">
      <c r="A224" s="122"/>
      <c r="B224" s="84"/>
      <c r="C224" s="125"/>
      <c r="D224" s="84"/>
      <c r="E224" s="86"/>
      <c r="F224" s="86"/>
      <c r="G224" s="86"/>
      <c r="H224" s="10" t="s">
        <v>448</v>
      </c>
      <c r="I224" s="11" t="s">
        <v>29</v>
      </c>
      <c r="J224" s="11">
        <v>100</v>
      </c>
      <c r="K224" s="11"/>
      <c r="L224" s="40"/>
    </row>
    <row r="225" spans="1:12" ht="27.6" x14ac:dyDescent="0.25">
      <c r="A225" s="122"/>
      <c r="B225" s="84"/>
      <c r="C225" s="125"/>
      <c r="D225" s="84"/>
      <c r="E225" s="86"/>
      <c r="F225" s="86"/>
      <c r="G225" s="86"/>
      <c r="H225" s="10" t="s">
        <v>449</v>
      </c>
      <c r="I225" s="11" t="s">
        <v>29</v>
      </c>
      <c r="J225" s="11">
        <v>100</v>
      </c>
      <c r="K225" s="11"/>
      <c r="L225" s="40"/>
    </row>
    <row r="226" spans="1:12" ht="41.4" x14ac:dyDescent="0.25">
      <c r="A226" s="122"/>
      <c r="B226" s="84"/>
      <c r="C226" s="125"/>
      <c r="D226" s="84"/>
      <c r="E226" s="86"/>
      <c r="F226" s="86"/>
      <c r="G226" s="86"/>
      <c r="H226" s="10" t="s">
        <v>450</v>
      </c>
      <c r="I226" s="11" t="s">
        <v>29</v>
      </c>
      <c r="J226" s="11">
        <v>100</v>
      </c>
      <c r="K226" s="11"/>
      <c r="L226" s="40"/>
    </row>
    <row r="227" spans="1:12" ht="27.6" x14ac:dyDescent="0.25">
      <c r="A227" s="122"/>
      <c r="B227" s="84"/>
      <c r="C227" s="125"/>
      <c r="D227" s="84"/>
      <c r="E227" s="86"/>
      <c r="F227" s="86"/>
      <c r="G227" s="86"/>
      <c r="H227" s="10" t="s">
        <v>451</v>
      </c>
      <c r="I227" s="11" t="s">
        <v>29</v>
      </c>
      <c r="J227" s="11">
        <v>100</v>
      </c>
      <c r="K227" s="11"/>
      <c r="L227" s="40"/>
    </row>
    <row r="228" spans="1:12" ht="27.6" x14ac:dyDescent="0.25">
      <c r="A228" s="122"/>
      <c r="B228" s="84"/>
      <c r="C228" s="125"/>
      <c r="D228" s="84"/>
      <c r="E228" s="86"/>
      <c r="F228" s="86"/>
      <c r="G228" s="86"/>
      <c r="H228" s="10" t="s">
        <v>452</v>
      </c>
      <c r="I228" s="11" t="s">
        <v>29</v>
      </c>
      <c r="J228" s="11">
        <v>100</v>
      </c>
      <c r="K228" s="11"/>
      <c r="L228" s="40"/>
    </row>
    <row r="229" spans="1:12" ht="28.2" thickBot="1" x14ac:dyDescent="0.3">
      <c r="A229" s="123"/>
      <c r="B229" s="78"/>
      <c r="C229" s="126"/>
      <c r="D229" s="78"/>
      <c r="E229" s="87"/>
      <c r="F229" s="87"/>
      <c r="G229" s="87"/>
      <c r="H229" s="10" t="s">
        <v>453</v>
      </c>
      <c r="I229" s="11" t="s">
        <v>29</v>
      </c>
      <c r="J229" s="11">
        <v>100</v>
      </c>
      <c r="K229" s="11"/>
      <c r="L229" s="40"/>
    </row>
    <row r="230" spans="1:12" ht="41.4" x14ac:dyDescent="0.25">
      <c r="A230" s="121" t="s">
        <v>454</v>
      </c>
      <c r="B230" s="83" t="s">
        <v>455</v>
      </c>
      <c r="C230" s="124" t="s">
        <v>456</v>
      </c>
      <c r="D230" s="83" t="s">
        <v>40</v>
      </c>
      <c r="E230" s="85">
        <f>SUM(E231:E231)+1272</f>
        <v>1272</v>
      </c>
      <c r="F230" s="85">
        <f>SUM(F231:F231)+45</f>
        <v>45</v>
      </c>
      <c r="G230" s="85">
        <f>SUM(G231:G231)+50</f>
        <v>50</v>
      </c>
      <c r="H230" s="14" t="s">
        <v>457</v>
      </c>
      <c r="I230" s="15" t="s">
        <v>22</v>
      </c>
      <c r="J230" s="15">
        <v>1</v>
      </c>
      <c r="K230" s="15">
        <v>1</v>
      </c>
      <c r="L230" s="39">
        <v>1</v>
      </c>
    </row>
    <row r="231" spans="1:12" ht="27" customHeight="1" thickBot="1" x14ac:dyDescent="0.3">
      <c r="A231" s="123"/>
      <c r="B231" s="78"/>
      <c r="C231" s="126"/>
      <c r="D231" s="78"/>
      <c r="E231" s="87"/>
      <c r="F231" s="87"/>
      <c r="G231" s="87"/>
      <c r="H231" s="10" t="s">
        <v>458</v>
      </c>
      <c r="I231" s="11" t="s">
        <v>22</v>
      </c>
      <c r="J231" s="11">
        <v>1</v>
      </c>
      <c r="K231" s="11">
        <v>1</v>
      </c>
      <c r="L231" s="40">
        <v>1</v>
      </c>
    </row>
    <row r="232" spans="1:12" ht="42" thickBot="1" x14ac:dyDescent="0.3">
      <c r="A232" s="12" t="s">
        <v>459</v>
      </c>
      <c r="B232" s="13" t="s">
        <v>460</v>
      </c>
      <c r="C232" s="13" t="s">
        <v>456</v>
      </c>
      <c r="D232" s="14" t="s">
        <v>40</v>
      </c>
      <c r="E232" s="33">
        <v>50</v>
      </c>
      <c r="F232" s="33">
        <v>50</v>
      </c>
      <c r="G232" s="33">
        <v>50</v>
      </c>
      <c r="H232" s="14" t="s">
        <v>461</v>
      </c>
      <c r="I232" s="15" t="s">
        <v>22</v>
      </c>
      <c r="J232" s="15">
        <v>50</v>
      </c>
      <c r="K232" s="15">
        <v>50</v>
      </c>
      <c r="L232" s="39">
        <v>40</v>
      </c>
    </row>
    <row r="233" spans="1:12" ht="27.6" x14ac:dyDescent="0.25">
      <c r="A233" s="121" t="s">
        <v>462</v>
      </c>
      <c r="B233" s="83" t="s">
        <v>463</v>
      </c>
      <c r="C233" s="124" t="s">
        <v>464</v>
      </c>
      <c r="D233" s="83" t="s">
        <v>40</v>
      </c>
      <c r="E233" s="85">
        <f>SUM(E234:E238)+30</f>
        <v>30</v>
      </c>
      <c r="F233" s="85">
        <f>SUM(F234:F238)+30</f>
        <v>30</v>
      </c>
      <c r="G233" s="85">
        <f>SUM(G234:G238)+30</f>
        <v>30</v>
      </c>
      <c r="H233" s="14" t="s">
        <v>465</v>
      </c>
      <c r="I233" s="15" t="s">
        <v>22</v>
      </c>
      <c r="J233" s="15">
        <v>1</v>
      </c>
      <c r="K233" s="15">
        <v>1</v>
      </c>
      <c r="L233" s="39"/>
    </row>
    <row r="234" spans="1:12" ht="27.6" x14ac:dyDescent="0.25">
      <c r="A234" s="122"/>
      <c r="B234" s="84"/>
      <c r="C234" s="125"/>
      <c r="D234" s="84"/>
      <c r="E234" s="86"/>
      <c r="F234" s="86"/>
      <c r="G234" s="86"/>
      <c r="H234" s="10" t="s">
        <v>466</v>
      </c>
      <c r="I234" s="11" t="s">
        <v>22</v>
      </c>
      <c r="J234" s="11">
        <v>1</v>
      </c>
      <c r="K234" s="11">
        <v>1</v>
      </c>
      <c r="L234" s="40">
        <v>1</v>
      </c>
    </row>
    <row r="235" spans="1:12" ht="45" customHeight="1" x14ac:dyDescent="0.25">
      <c r="A235" s="122"/>
      <c r="B235" s="84"/>
      <c r="C235" s="125"/>
      <c r="D235" s="84"/>
      <c r="E235" s="86"/>
      <c r="F235" s="86"/>
      <c r="G235" s="86"/>
      <c r="H235" s="10" t="s">
        <v>467</v>
      </c>
      <c r="I235" s="11" t="s">
        <v>22</v>
      </c>
      <c r="J235" s="11">
        <v>1</v>
      </c>
      <c r="K235" s="11"/>
      <c r="L235" s="40"/>
    </row>
    <row r="236" spans="1:12" ht="27.6" x14ac:dyDescent="0.25">
      <c r="A236" s="122"/>
      <c r="B236" s="84"/>
      <c r="C236" s="125"/>
      <c r="D236" s="84"/>
      <c r="E236" s="86"/>
      <c r="F236" s="86"/>
      <c r="G236" s="86"/>
      <c r="H236" s="10" t="s">
        <v>468</v>
      </c>
      <c r="I236" s="11" t="s">
        <v>22</v>
      </c>
      <c r="J236" s="11">
        <v>1</v>
      </c>
      <c r="K236" s="11"/>
      <c r="L236" s="40"/>
    </row>
    <row r="237" spans="1:12" ht="41.4" x14ac:dyDescent="0.25">
      <c r="A237" s="122"/>
      <c r="B237" s="84"/>
      <c r="C237" s="125"/>
      <c r="D237" s="84"/>
      <c r="E237" s="86"/>
      <c r="F237" s="86"/>
      <c r="G237" s="86"/>
      <c r="H237" s="10" t="s">
        <v>469</v>
      </c>
      <c r="I237" s="11" t="s">
        <v>22</v>
      </c>
      <c r="J237" s="11">
        <v>1</v>
      </c>
      <c r="K237" s="11"/>
      <c r="L237" s="40"/>
    </row>
    <row r="238" spans="1:12" ht="42" thickBot="1" x14ac:dyDescent="0.3">
      <c r="A238" s="123"/>
      <c r="B238" s="78"/>
      <c r="C238" s="126"/>
      <c r="D238" s="78"/>
      <c r="E238" s="87"/>
      <c r="F238" s="87"/>
      <c r="G238" s="87"/>
      <c r="H238" s="10" t="s">
        <v>470</v>
      </c>
      <c r="I238" s="11" t="s">
        <v>22</v>
      </c>
      <c r="J238" s="11">
        <v>1</v>
      </c>
      <c r="K238" s="11"/>
      <c r="L238" s="40"/>
    </row>
    <row r="239" spans="1:12" ht="27.6" x14ac:dyDescent="0.25">
      <c r="A239" s="121" t="s">
        <v>471</v>
      </c>
      <c r="B239" s="83" t="s">
        <v>472</v>
      </c>
      <c r="C239" s="124" t="s">
        <v>473</v>
      </c>
      <c r="D239" s="14"/>
      <c r="E239" s="31">
        <f>SUM(E240:E241)</f>
        <v>1580</v>
      </c>
      <c r="F239" s="31">
        <f>SUM(F240:F241)</f>
        <v>1630</v>
      </c>
      <c r="G239" s="31">
        <f>SUM(G240:G241)</f>
        <v>1662</v>
      </c>
      <c r="H239" s="14" t="s">
        <v>474</v>
      </c>
      <c r="I239" s="15" t="s">
        <v>22</v>
      </c>
      <c r="J239" s="15">
        <v>2</v>
      </c>
      <c r="K239" s="15">
        <v>2</v>
      </c>
      <c r="L239" s="39">
        <v>2</v>
      </c>
    </row>
    <row r="240" spans="1:12" ht="27.6" x14ac:dyDescent="0.25">
      <c r="A240" s="122"/>
      <c r="B240" s="84"/>
      <c r="C240" s="125"/>
      <c r="D240" s="10" t="s">
        <v>40</v>
      </c>
      <c r="E240" s="32">
        <v>0</v>
      </c>
      <c r="F240" s="32">
        <v>0</v>
      </c>
      <c r="G240" s="32">
        <v>1662</v>
      </c>
      <c r="H240" s="10" t="s">
        <v>475</v>
      </c>
      <c r="I240" s="11" t="s">
        <v>22</v>
      </c>
      <c r="J240" s="11">
        <v>4</v>
      </c>
      <c r="K240" s="11">
        <v>6</v>
      </c>
      <c r="L240" s="40">
        <v>4</v>
      </c>
    </row>
    <row r="241" spans="1:12" ht="28.2" thickBot="1" x14ac:dyDescent="0.3">
      <c r="A241" s="123"/>
      <c r="B241" s="78"/>
      <c r="C241" s="126"/>
      <c r="D241" s="10" t="s">
        <v>476</v>
      </c>
      <c r="E241" s="32">
        <v>1580</v>
      </c>
      <c r="F241" s="32">
        <v>1630</v>
      </c>
      <c r="G241" s="32">
        <v>0</v>
      </c>
      <c r="H241" s="10" t="s">
        <v>477</v>
      </c>
      <c r="I241" s="11" t="s">
        <v>22</v>
      </c>
      <c r="J241" s="11">
        <v>15</v>
      </c>
      <c r="K241" s="11">
        <v>15</v>
      </c>
      <c r="L241" s="40">
        <v>15</v>
      </c>
    </row>
    <row r="242" spans="1:12" ht="41.4" x14ac:dyDescent="0.25">
      <c r="A242" s="121" t="s">
        <v>478</v>
      </c>
      <c r="B242" s="83" t="s">
        <v>479</v>
      </c>
      <c r="C242" s="124" t="s">
        <v>431</v>
      </c>
      <c r="D242" s="83" t="s">
        <v>40</v>
      </c>
      <c r="E242" s="85">
        <f>SUM(E243:E243)+20</f>
        <v>20</v>
      </c>
      <c r="F242" s="85">
        <f>SUM(F243:F243)+20</f>
        <v>20</v>
      </c>
      <c r="G242" s="85">
        <f>SUM(G243:G243)</f>
        <v>0</v>
      </c>
      <c r="H242" s="14" t="s">
        <v>480</v>
      </c>
      <c r="I242" s="15" t="s">
        <v>22</v>
      </c>
      <c r="J242" s="15">
        <v>1</v>
      </c>
      <c r="K242" s="15">
        <v>1</v>
      </c>
      <c r="L242" s="39"/>
    </row>
    <row r="243" spans="1:12" ht="28.2" thickBot="1" x14ac:dyDescent="0.3">
      <c r="A243" s="123"/>
      <c r="B243" s="78"/>
      <c r="C243" s="126"/>
      <c r="D243" s="78"/>
      <c r="E243" s="87"/>
      <c r="F243" s="87"/>
      <c r="G243" s="87"/>
      <c r="H243" s="10" t="s">
        <v>481</v>
      </c>
      <c r="I243" s="11" t="s">
        <v>22</v>
      </c>
      <c r="J243" s="11">
        <v>1</v>
      </c>
      <c r="K243" s="11">
        <v>1</v>
      </c>
      <c r="L243" s="40"/>
    </row>
    <row r="244" spans="1:12" ht="55.2" x14ac:dyDescent="0.25">
      <c r="A244" s="121" t="s">
        <v>482</v>
      </c>
      <c r="B244" s="83" t="s">
        <v>483</v>
      </c>
      <c r="C244" s="124" t="s">
        <v>431</v>
      </c>
      <c r="D244" s="83" t="s">
        <v>40</v>
      </c>
      <c r="E244" s="85">
        <f>SUM(E245:E246)+35</f>
        <v>35</v>
      </c>
      <c r="F244" s="85">
        <f>SUM(F245:F246)+30</f>
        <v>30</v>
      </c>
      <c r="G244" s="85">
        <f>SUM(G245:G246)</f>
        <v>0</v>
      </c>
      <c r="H244" s="14" t="s">
        <v>484</v>
      </c>
      <c r="I244" s="15" t="s">
        <v>22</v>
      </c>
      <c r="J244" s="15">
        <v>85</v>
      </c>
      <c r="K244" s="15">
        <v>100</v>
      </c>
      <c r="L244" s="39"/>
    </row>
    <row r="245" spans="1:12" ht="69" x14ac:dyDescent="0.25">
      <c r="A245" s="122"/>
      <c r="B245" s="84"/>
      <c r="C245" s="125"/>
      <c r="D245" s="84"/>
      <c r="E245" s="86"/>
      <c r="F245" s="86"/>
      <c r="G245" s="86"/>
      <c r="H245" s="10" t="s">
        <v>485</v>
      </c>
      <c r="I245" s="11" t="s">
        <v>368</v>
      </c>
      <c r="J245" s="11">
        <v>1</v>
      </c>
      <c r="K245" s="11">
        <v>1</v>
      </c>
      <c r="L245" s="40"/>
    </row>
    <row r="246" spans="1:12" ht="28.2" thickBot="1" x14ac:dyDescent="0.3">
      <c r="A246" s="123"/>
      <c r="B246" s="78"/>
      <c r="C246" s="126"/>
      <c r="D246" s="78"/>
      <c r="E246" s="87"/>
      <c r="F246" s="87"/>
      <c r="G246" s="87"/>
      <c r="H246" s="10" t="s">
        <v>486</v>
      </c>
      <c r="I246" s="11" t="s">
        <v>368</v>
      </c>
      <c r="J246" s="11">
        <v>1</v>
      </c>
      <c r="K246" s="11">
        <v>1</v>
      </c>
      <c r="L246" s="40"/>
    </row>
    <row r="247" spans="1:12" ht="42" thickBot="1" x14ac:dyDescent="0.3">
      <c r="A247" s="12" t="s">
        <v>487</v>
      </c>
      <c r="B247" s="13" t="s">
        <v>488</v>
      </c>
      <c r="C247" s="13" t="s">
        <v>322</v>
      </c>
      <c r="D247" s="14" t="s">
        <v>40</v>
      </c>
      <c r="E247" s="33">
        <v>13</v>
      </c>
      <c r="F247" s="33">
        <v>13</v>
      </c>
      <c r="G247" s="33">
        <v>13</v>
      </c>
      <c r="H247" s="14" t="s">
        <v>489</v>
      </c>
      <c r="I247" s="15" t="s">
        <v>22</v>
      </c>
      <c r="J247" s="15">
        <v>2</v>
      </c>
      <c r="K247" s="15">
        <v>2</v>
      </c>
      <c r="L247" s="39">
        <v>2</v>
      </c>
    </row>
    <row r="248" spans="1:12" ht="28.2" thickBot="1" x14ac:dyDescent="0.3">
      <c r="A248" s="12" t="s">
        <v>490</v>
      </c>
      <c r="B248" s="13" t="s">
        <v>491</v>
      </c>
      <c r="C248" s="13" t="s">
        <v>322</v>
      </c>
      <c r="D248" s="14" t="s">
        <v>40</v>
      </c>
      <c r="E248" s="33">
        <v>15</v>
      </c>
      <c r="F248" s="33">
        <v>10</v>
      </c>
      <c r="G248" s="33">
        <v>10</v>
      </c>
      <c r="H248" s="14" t="s">
        <v>492</v>
      </c>
      <c r="I248" s="15" t="s">
        <v>22</v>
      </c>
      <c r="J248" s="15">
        <v>1</v>
      </c>
      <c r="K248" s="15">
        <v>1</v>
      </c>
      <c r="L248" s="39">
        <v>1</v>
      </c>
    </row>
    <row r="249" spans="1:12" ht="41.4" hidden="1" x14ac:dyDescent="0.25">
      <c r="A249" s="64" t="s">
        <v>493</v>
      </c>
      <c r="B249" s="13" t="s">
        <v>494</v>
      </c>
      <c r="C249" s="13" t="s">
        <v>495</v>
      </c>
      <c r="D249" s="14"/>
      <c r="E249" s="33">
        <v>0</v>
      </c>
      <c r="F249" s="33">
        <v>0</v>
      </c>
      <c r="G249" s="33">
        <v>0</v>
      </c>
      <c r="H249" s="14" t="s">
        <v>496</v>
      </c>
      <c r="I249" s="15" t="s">
        <v>220</v>
      </c>
      <c r="J249" s="15">
        <v>1</v>
      </c>
      <c r="K249" s="15"/>
      <c r="L249" s="39"/>
    </row>
    <row r="250" spans="1:12" ht="28.2" thickBot="1" x14ac:dyDescent="0.3">
      <c r="A250" s="12" t="s">
        <v>497</v>
      </c>
      <c r="B250" s="13" t="s">
        <v>498</v>
      </c>
      <c r="C250" s="13" t="s">
        <v>456</v>
      </c>
      <c r="D250" s="14" t="s">
        <v>40</v>
      </c>
      <c r="E250" s="33">
        <v>25</v>
      </c>
      <c r="F250" s="33">
        <v>0</v>
      </c>
      <c r="G250" s="33">
        <v>20</v>
      </c>
      <c r="H250" s="14" t="s">
        <v>499</v>
      </c>
      <c r="I250" s="15" t="s">
        <v>22</v>
      </c>
      <c r="J250" s="15">
        <v>1</v>
      </c>
      <c r="K250" s="15"/>
      <c r="L250" s="39">
        <v>1</v>
      </c>
    </row>
    <row r="251" spans="1:12" x14ac:dyDescent="0.25">
      <c r="A251" s="127" t="s">
        <v>500</v>
      </c>
      <c r="B251" s="145" t="s">
        <v>501</v>
      </c>
      <c r="C251" s="146"/>
      <c r="D251" s="147"/>
      <c r="E251" s="88">
        <f>E252+E253+E254+E255+E256+E257+E258+E259+E263+E268+E271+E276+E278+E282+E286+E287+E298</f>
        <v>47190.6</v>
      </c>
      <c r="F251" s="88">
        <f>F252+F253+F254+F255+F256+F257+F258+F259+F263+F268+F271+F276+F278+F282+F286+F287+F298</f>
        <v>49332.4</v>
      </c>
      <c r="G251" s="88">
        <f>G252+G253+G254+G255+G256+G257+G258+G259+G263+G268+G271+G276+G278+G282+G286+G287+G298</f>
        <v>46505</v>
      </c>
      <c r="H251" s="7" t="s">
        <v>502</v>
      </c>
      <c r="I251" s="8" t="s">
        <v>29</v>
      </c>
      <c r="J251" s="8">
        <v>24.6</v>
      </c>
      <c r="K251" s="8">
        <v>23.2</v>
      </c>
      <c r="L251" s="43">
        <v>21.8</v>
      </c>
    </row>
    <row r="252" spans="1:12" x14ac:dyDescent="0.25">
      <c r="A252" s="138"/>
      <c r="B252" s="148"/>
      <c r="C252" s="149"/>
      <c r="D252" s="150"/>
      <c r="E252" s="89"/>
      <c r="F252" s="89"/>
      <c r="G252" s="89"/>
      <c r="H252" s="22" t="s">
        <v>503</v>
      </c>
      <c r="I252" s="23" t="s">
        <v>29</v>
      </c>
      <c r="J252" s="23">
        <v>4</v>
      </c>
      <c r="K252" s="23">
        <v>7</v>
      </c>
      <c r="L252" s="38">
        <v>10</v>
      </c>
    </row>
    <row r="253" spans="1:12" ht="27.6" x14ac:dyDescent="0.25">
      <c r="A253" s="138"/>
      <c r="B253" s="148"/>
      <c r="C253" s="149"/>
      <c r="D253" s="150"/>
      <c r="E253" s="89"/>
      <c r="F253" s="89"/>
      <c r="G253" s="89"/>
      <c r="H253" s="22" t="s">
        <v>504</v>
      </c>
      <c r="I253" s="23" t="s">
        <v>386</v>
      </c>
      <c r="J253" s="23">
        <v>0.3</v>
      </c>
      <c r="K253" s="23">
        <v>0.4</v>
      </c>
      <c r="L253" s="38">
        <v>0.5</v>
      </c>
    </row>
    <row r="254" spans="1:12" x14ac:dyDescent="0.25">
      <c r="A254" s="138"/>
      <c r="B254" s="148"/>
      <c r="C254" s="149"/>
      <c r="D254" s="150"/>
      <c r="E254" s="89"/>
      <c r="F254" s="89"/>
      <c r="G254" s="89"/>
      <c r="H254" s="22" t="s">
        <v>505</v>
      </c>
      <c r="I254" s="23" t="s">
        <v>29</v>
      </c>
      <c r="J254" s="23">
        <v>39</v>
      </c>
      <c r="K254" s="23">
        <v>39</v>
      </c>
      <c r="L254" s="38">
        <v>39</v>
      </c>
    </row>
    <row r="255" spans="1:12" ht="27.6" x14ac:dyDescent="0.25">
      <c r="A255" s="138"/>
      <c r="B255" s="148"/>
      <c r="C255" s="149"/>
      <c r="D255" s="150"/>
      <c r="E255" s="89"/>
      <c r="F255" s="89"/>
      <c r="G255" s="89"/>
      <c r="H255" s="22" t="s">
        <v>506</v>
      </c>
      <c r="I255" s="23" t="s">
        <v>29</v>
      </c>
      <c r="J255" s="23">
        <v>30</v>
      </c>
      <c r="K255" s="23">
        <v>30</v>
      </c>
      <c r="L255" s="38">
        <v>30</v>
      </c>
    </row>
    <row r="256" spans="1:12" x14ac:dyDescent="0.25">
      <c r="A256" s="138"/>
      <c r="B256" s="148"/>
      <c r="C256" s="149"/>
      <c r="D256" s="150"/>
      <c r="E256" s="89"/>
      <c r="F256" s="89"/>
      <c r="G256" s="89"/>
      <c r="H256" s="22" t="s">
        <v>507</v>
      </c>
      <c r="I256" s="23" t="s">
        <v>29</v>
      </c>
      <c r="J256" s="23">
        <v>2</v>
      </c>
      <c r="K256" s="23">
        <v>2</v>
      </c>
      <c r="L256" s="38">
        <v>2</v>
      </c>
    </row>
    <row r="257" spans="1:12" x14ac:dyDescent="0.25">
      <c r="A257" s="138"/>
      <c r="B257" s="148"/>
      <c r="C257" s="149"/>
      <c r="D257" s="150"/>
      <c r="E257" s="89"/>
      <c r="F257" s="89"/>
      <c r="G257" s="89"/>
      <c r="H257" s="22" t="s">
        <v>508</v>
      </c>
      <c r="I257" s="23" t="s">
        <v>29</v>
      </c>
      <c r="J257" s="23">
        <v>27</v>
      </c>
      <c r="K257" s="23">
        <v>27</v>
      </c>
      <c r="L257" s="38">
        <v>27</v>
      </c>
    </row>
    <row r="258" spans="1:12" ht="28.2" thickBot="1" x14ac:dyDescent="0.3">
      <c r="A258" s="128"/>
      <c r="B258" s="151"/>
      <c r="C258" s="152"/>
      <c r="D258" s="153"/>
      <c r="E258" s="90"/>
      <c r="F258" s="90"/>
      <c r="G258" s="90"/>
      <c r="H258" s="22" t="s">
        <v>509</v>
      </c>
      <c r="I258" s="23" t="s">
        <v>22</v>
      </c>
      <c r="J258" s="23">
        <v>98</v>
      </c>
      <c r="K258" s="23">
        <v>100</v>
      </c>
      <c r="L258" s="38">
        <v>101</v>
      </c>
    </row>
    <row r="259" spans="1:12" x14ac:dyDescent="0.25">
      <c r="A259" s="121" t="s">
        <v>510</v>
      </c>
      <c r="B259" s="83" t="s">
        <v>511</v>
      </c>
      <c r="C259" s="124" t="s">
        <v>181</v>
      </c>
      <c r="D259" s="14"/>
      <c r="E259" s="31">
        <f>SUM(E260:E262)</f>
        <v>1605</v>
      </c>
      <c r="F259" s="31">
        <f>SUM(F260:F262)</f>
        <v>1585</v>
      </c>
      <c r="G259" s="31">
        <f>SUM(G260:G262)</f>
        <v>1520</v>
      </c>
      <c r="H259" s="14" t="s">
        <v>512</v>
      </c>
      <c r="I259" s="15" t="s">
        <v>22</v>
      </c>
      <c r="J259" s="15">
        <v>76</v>
      </c>
      <c r="K259" s="15">
        <v>76</v>
      </c>
      <c r="L259" s="39">
        <v>76</v>
      </c>
    </row>
    <row r="260" spans="1:12" ht="27.6" x14ac:dyDescent="0.25">
      <c r="A260" s="122"/>
      <c r="B260" s="84"/>
      <c r="C260" s="125"/>
      <c r="D260" s="10" t="s">
        <v>40</v>
      </c>
      <c r="E260" s="32">
        <v>1365</v>
      </c>
      <c r="F260" s="32">
        <v>1365</v>
      </c>
      <c r="G260" s="32">
        <v>1310</v>
      </c>
      <c r="H260" s="10" t="s">
        <v>513</v>
      </c>
      <c r="I260" s="11" t="s">
        <v>361</v>
      </c>
      <c r="J260" s="42">
        <v>32000</v>
      </c>
      <c r="K260" s="42">
        <v>30000</v>
      </c>
      <c r="L260" s="44">
        <v>28000</v>
      </c>
    </row>
    <row r="261" spans="1:12" x14ac:dyDescent="0.25">
      <c r="A261" s="122"/>
      <c r="B261" s="84"/>
      <c r="C261" s="125"/>
      <c r="D261" s="77" t="s">
        <v>514</v>
      </c>
      <c r="E261" s="108">
        <v>240</v>
      </c>
      <c r="F261" s="108">
        <v>220</v>
      </c>
      <c r="G261" s="108">
        <v>210</v>
      </c>
      <c r="H261" s="10" t="s">
        <v>515</v>
      </c>
      <c r="I261" s="11" t="s">
        <v>386</v>
      </c>
      <c r="J261" s="11">
        <v>57</v>
      </c>
      <c r="K261" s="11">
        <v>53</v>
      </c>
      <c r="L261" s="40">
        <v>50</v>
      </c>
    </row>
    <row r="262" spans="1:12" ht="28.2" thickBot="1" x14ac:dyDescent="0.3">
      <c r="A262" s="123"/>
      <c r="B262" s="78"/>
      <c r="C262" s="126"/>
      <c r="D262" s="78"/>
      <c r="E262" s="110"/>
      <c r="F262" s="110"/>
      <c r="G262" s="110"/>
      <c r="H262" s="10" t="s">
        <v>516</v>
      </c>
      <c r="I262" s="11" t="s">
        <v>361</v>
      </c>
      <c r="J262" s="42">
        <v>20000</v>
      </c>
      <c r="K262" s="42">
        <v>20000</v>
      </c>
      <c r="L262" s="44">
        <v>22000</v>
      </c>
    </row>
    <row r="263" spans="1:12" ht="30" customHeight="1" x14ac:dyDescent="0.25">
      <c r="A263" s="121" t="s">
        <v>517</v>
      </c>
      <c r="B263" s="83" t="s">
        <v>518</v>
      </c>
      <c r="C263" s="124" t="s">
        <v>181</v>
      </c>
      <c r="D263" s="14"/>
      <c r="E263" s="31">
        <f>SUM(E264:E267)</f>
        <v>21540</v>
      </c>
      <c r="F263" s="31">
        <f>SUM(F264:F267)</f>
        <v>18000</v>
      </c>
      <c r="G263" s="31">
        <f>SUM(G264:G267)</f>
        <v>18000</v>
      </c>
      <c r="H263" s="83" t="s">
        <v>519</v>
      </c>
      <c r="I263" s="98" t="s">
        <v>29</v>
      </c>
      <c r="J263" s="98">
        <v>100</v>
      </c>
      <c r="K263" s="98">
        <v>100</v>
      </c>
      <c r="L263" s="99">
        <v>100</v>
      </c>
    </row>
    <row r="264" spans="1:12" x14ac:dyDescent="0.25">
      <c r="A264" s="122"/>
      <c r="B264" s="84"/>
      <c r="C264" s="125"/>
      <c r="D264" s="10" t="s">
        <v>520</v>
      </c>
      <c r="E264" s="32">
        <v>7500</v>
      </c>
      <c r="F264" s="32">
        <v>5000</v>
      </c>
      <c r="G264" s="32">
        <v>5000</v>
      </c>
      <c r="H264" s="84"/>
      <c r="I264" s="91"/>
      <c r="J264" s="91"/>
      <c r="K264" s="91"/>
      <c r="L264" s="97"/>
    </row>
    <row r="265" spans="1:12" x14ac:dyDescent="0.25">
      <c r="A265" s="122"/>
      <c r="B265" s="84"/>
      <c r="C265" s="125"/>
      <c r="D265" s="10" t="s">
        <v>40</v>
      </c>
      <c r="E265" s="32">
        <v>1227.5</v>
      </c>
      <c r="F265" s="32">
        <v>593.70000000000005</v>
      </c>
      <c r="G265" s="32">
        <v>7895.7</v>
      </c>
      <c r="H265" s="84"/>
      <c r="I265" s="91"/>
      <c r="J265" s="91"/>
      <c r="K265" s="91"/>
      <c r="L265" s="97"/>
    </row>
    <row r="266" spans="1:12" x14ac:dyDescent="0.25">
      <c r="A266" s="122"/>
      <c r="B266" s="84"/>
      <c r="C266" s="125"/>
      <c r="D266" s="10" t="s">
        <v>514</v>
      </c>
      <c r="E266" s="32">
        <v>8260</v>
      </c>
      <c r="F266" s="32">
        <v>5020</v>
      </c>
      <c r="G266" s="32">
        <v>5020</v>
      </c>
      <c r="H266" s="84"/>
      <c r="I266" s="91"/>
      <c r="J266" s="91"/>
      <c r="K266" s="91"/>
      <c r="L266" s="97"/>
    </row>
    <row r="267" spans="1:12" ht="14.4" thickBot="1" x14ac:dyDescent="0.3">
      <c r="A267" s="123"/>
      <c r="B267" s="78"/>
      <c r="C267" s="126"/>
      <c r="D267" s="10" t="s">
        <v>476</v>
      </c>
      <c r="E267" s="32">
        <v>4552.5</v>
      </c>
      <c r="F267" s="32">
        <v>7386.3</v>
      </c>
      <c r="G267" s="32">
        <v>84.3</v>
      </c>
      <c r="H267" s="78"/>
      <c r="I267" s="80"/>
      <c r="J267" s="80"/>
      <c r="K267" s="80"/>
      <c r="L267" s="82"/>
    </row>
    <row r="268" spans="1:12" ht="30" customHeight="1" x14ac:dyDescent="0.25">
      <c r="A268" s="121" t="s">
        <v>521</v>
      </c>
      <c r="B268" s="83" t="s">
        <v>522</v>
      </c>
      <c r="C268" s="124" t="s">
        <v>523</v>
      </c>
      <c r="D268" s="14"/>
      <c r="E268" s="31">
        <f>SUM(E269:E270)</f>
        <v>553</v>
      </c>
      <c r="F268" s="31">
        <f>SUM(F269:F270)</f>
        <v>245</v>
      </c>
      <c r="G268" s="31">
        <f>SUM(G269:G270)</f>
        <v>0</v>
      </c>
      <c r="H268" s="83" t="s">
        <v>524</v>
      </c>
      <c r="I268" s="98" t="s">
        <v>22</v>
      </c>
      <c r="J268" s="98">
        <v>1</v>
      </c>
      <c r="K268" s="98">
        <v>1</v>
      </c>
      <c r="L268" s="99"/>
    </row>
    <row r="269" spans="1:12" x14ac:dyDescent="0.25">
      <c r="A269" s="122"/>
      <c r="B269" s="84"/>
      <c r="C269" s="125"/>
      <c r="D269" s="10" t="s">
        <v>30</v>
      </c>
      <c r="E269" s="32">
        <v>303</v>
      </c>
      <c r="F269" s="32">
        <v>145</v>
      </c>
      <c r="G269" s="32">
        <v>0</v>
      </c>
      <c r="H269" s="84"/>
      <c r="I269" s="91"/>
      <c r="J269" s="91"/>
      <c r="K269" s="91"/>
      <c r="L269" s="97"/>
    </row>
    <row r="270" spans="1:12" ht="14.4" thickBot="1" x14ac:dyDescent="0.3">
      <c r="A270" s="123"/>
      <c r="B270" s="78"/>
      <c r="C270" s="126"/>
      <c r="D270" s="10" t="s">
        <v>40</v>
      </c>
      <c r="E270" s="32">
        <v>250</v>
      </c>
      <c r="F270" s="32">
        <v>100</v>
      </c>
      <c r="G270" s="32">
        <v>0</v>
      </c>
      <c r="H270" s="78"/>
      <c r="I270" s="80"/>
      <c r="J270" s="80"/>
      <c r="K270" s="80"/>
      <c r="L270" s="82"/>
    </row>
    <row r="271" spans="1:12" x14ac:dyDescent="0.25">
      <c r="A271" s="121" t="s">
        <v>525</v>
      </c>
      <c r="B271" s="83" t="s">
        <v>526</v>
      </c>
      <c r="C271" s="124" t="s">
        <v>523</v>
      </c>
      <c r="D271" s="14"/>
      <c r="E271" s="31">
        <f>SUM(E272:E275)</f>
        <v>6000.1</v>
      </c>
      <c r="F271" s="31">
        <f>SUM(F272:F275)</f>
        <v>5600.1</v>
      </c>
      <c r="G271" s="31">
        <f>SUM(G272:G275)</f>
        <v>2662</v>
      </c>
      <c r="H271" s="14" t="s">
        <v>527</v>
      </c>
      <c r="I271" s="15" t="s">
        <v>386</v>
      </c>
      <c r="J271" s="15">
        <v>7</v>
      </c>
      <c r="K271" s="15">
        <v>8</v>
      </c>
      <c r="L271" s="39"/>
    </row>
    <row r="272" spans="1:12" x14ac:dyDescent="0.25">
      <c r="A272" s="122"/>
      <c r="B272" s="84"/>
      <c r="C272" s="125"/>
      <c r="D272" s="10" t="s">
        <v>40</v>
      </c>
      <c r="E272" s="32">
        <v>921.3</v>
      </c>
      <c r="F272" s="32">
        <v>921.3</v>
      </c>
      <c r="G272" s="32">
        <v>700</v>
      </c>
      <c r="H272" s="10" t="s">
        <v>528</v>
      </c>
      <c r="I272" s="11" t="s">
        <v>386</v>
      </c>
      <c r="J272" s="11">
        <v>7</v>
      </c>
      <c r="K272" s="11">
        <v>8</v>
      </c>
      <c r="L272" s="40"/>
    </row>
    <row r="273" spans="1:12" x14ac:dyDescent="0.25">
      <c r="A273" s="122"/>
      <c r="B273" s="84"/>
      <c r="C273" s="125"/>
      <c r="D273" s="77" t="s">
        <v>30</v>
      </c>
      <c r="E273" s="108">
        <v>5078.8</v>
      </c>
      <c r="F273" s="108">
        <v>4678.8</v>
      </c>
      <c r="G273" s="108">
        <v>1962</v>
      </c>
      <c r="H273" s="10" t="s">
        <v>529</v>
      </c>
      <c r="I273" s="11" t="s">
        <v>29</v>
      </c>
      <c r="J273" s="11">
        <v>45</v>
      </c>
      <c r="K273" s="11">
        <v>100</v>
      </c>
      <c r="L273" s="40"/>
    </row>
    <row r="274" spans="1:12" x14ac:dyDescent="0.25">
      <c r="A274" s="122"/>
      <c r="B274" s="84"/>
      <c r="C274" s="125"/>
      <c r="D274" s="84"/>
      <c r="E274" s="109"/>
      <c r="F274" s="109"/>
      <c r="G274" s="109"/>
      <c r="H274" s="10" t="s">
        <v>530</v>
      </c>
      <c r="I274" s="11" t="s">
        <v>22</v>
      </c>
      <c r="J274" s="11"/>
      <c r="K274" s="11">
        <v>3</v>
      </c>
      <c r="L274" s="40"/>
    </row>
    <row r="275" spans="1:12" ht="28.2" thickBot="1" x14ac:dyDescent="0.3">
      <c r="A275" s="123"/>
      <c r="B275" s="78"/>
      <c r="C275" s="126"/>
      <c r="D275" s="78"/>
      <c r="E275" s="110"/>
      <c r="F275" s="110"/>
      <c r="G275" s="110"/>
      <c r="H275" s="10" t="s">
        <v>531</v>
      </c>
      <c r="I275" s="11" t="s">
        <v>386</v>
      </c>
      <c r="J275" s="11"/>
      <c r="K275" s="11"/>
      <c r="L275" s="40">
        <v>1.5</v>
      </c>
    </row>
    <row r="276" spans="1:12" x14ac:dyDescent="0.25">
      <c r="A276" s="121" t="s">
        <v>532</v>
      </c>
      <c r="B276" s="83" t="s">
        <v>533</v>
      </c>
      <c r="C276" s="124" t="s">
        <v>134</v>
      </c>
      <c r="D276" s="14"/>
      <c r="E276" s="31">
        <f>SUM(E277:E277)</f>
        <v>7741.3</v>
      </c>
      <c r="F276" s="31">
        <f>SUM(F277:F277)</f>
        <v>7853.3</v>
      </c>
      <c r="G276" s="31">
        <f>SUM(G277:G277)</f>
        <v>7897</v>
      </c>
      <c r="H276" s="83" t="s">
        <v>224</v>
      </c>
      <c r="I276" s="98" t="s">
        <v>29</v>
      </c>
      <c r="J276" s="98">
        <v>100</v>
      </c>
      <c r="K276" s="98">
        <v>100</v>
      </c>
      <c r="L276" s="99">
        <v>100</v>
      </c>
    </row>
    <row r="277" spans="1:12" ht="14.4" thickBot="1" x14ac:dyDescent="0.3">
      <c r="A277" s="123"/>
      <c r="B277" s="78"/>
      <c r="C277" s="126"/>
      <c r="D277" s="10" t="s">
        <v>476</v>
      </c>
      <c r="E277" s="32">
        <v>7741.3</v>
      </c>
      <c r="F277" s="32">
        <v>7853.3</v>
      </c>
      <c r="G277" s="32">
        <v>7897</v>
      </c>
      <c r="H277" s="78"/>
      <c r="I277" s="80"/>
      <c r="J277" s="80"/>
      <c r="K277" s="80"/>
      <c r="L277" s="82"/>
    </row>
    <row r="278" spans="1:12" x14ac:dyDescent="0.25">
      <c r="A278" s="121" t="s">
        <v>534</v>
      </c>
      <c r="B278" s="83" t="s">
        <v>535</v>
      </c>
      <c r="C278" s="124" t="s">
        <v>536</v>
      </c>
      <c r="D278" s="14"/>
      <c r="E278" s="31">
        <f>SUM(E279:E281)</f>
        <v>3668.2000000000003</v>
      </c>
      <c r="F278" s="31">
        <f>SUM(F279:F281)</f>
        <v>90</v>
      </c>
      <c r="G278" s="31">
        <f>SUM(G279:G281)</f>
        <v>90</v>
      </c>
      <c r="H278" s="14" t="s">
        <v>537</v>
      </c>
      <c r="I278" s="15" t="s">
        <v>22</v>
      </c>
      <c r="J278" s="15">
        <v>1</v>
      </c>
      <c r="K278" s="15"/>
      <c r="L278" s="39"/>
    </row>
    <row r="279" spans="1:12" x14ac:dyDescent="0.25">
      <c r="A279" s="122"/>
      <c r="B279" s="84"/>
      <c r="C279" s="125"/>
      <c r="D279" s="10" t="s">
        <v>30</v>
      </c>
      <c r="E279" s="32">
        <v>2833.8</v>
      </c>
      <c r="F279" s="32">
        <v>0</v>
      </c>
      <c r="G279" s="32">
        <v>0</v>
      </c>
      <c r="H279" s="10" t="s">
        <v>538</v>
      </c>
      <c r="I279" s="11" t="s">
        <v>22</v>
      </c>
      <c r="J279" s="11">
        <v>10</v>
      </c>
      <c r="K279" s="11">
        <v>10</v>
      </c>
      <c r="L279" s="40">
        <v>10</v>
      </c>
    </row>
    <row r="280" spans="1:12" ht="27.6" x14ac:dyDescent="0.25">
      <c r="A280" s="122"/>
      <c r="B280" s="84"/>
      <c r="C280" s="125"/>
      <c r="D280" s="10" t="s">
        <v>27</v>
      </c>
      <c r="E280" s="32">
        <v>642.6</v>
      </c>
      <c r="F280" s="32">
        <v>0</v>
      </c>
      <c r="G280" s="32">
        <v>0</v>
      </c>
      <c r="H280" s="10" t="s">
        <v>539</v>
      </c>
      <c r="I280" s="11" t="s">
        <v>22</v>
      </c>
      <c r="J280" s="11">
        <v>20</v>
      </c>
      <c r="K280" s="11">
        <v>20</v>
      </c>
      <c r="L280" s="40">
        <v>10</v>
      </c>
    </row>
    <row r="281" spans="1:12" ht="28.2" thickBot="1" x14ac:dyDescent="0.3">
      <c r="A281" s="123"/>
      <c r="B281" s="78"/>
      <c r="C281" s="126"/>
      <c r="D281" s="10" t="s">
        <v>40</v>
      </c>
      <c r="E281" s="32">
        <v>191.8</v>
      </c>
      <c r="F281" s="32">
        <v>90</v>
      </c>
      <c r="G281" s="32">
        <v>90</v>
      </c>
      <c r="H281" s="10" t="s">
        <v>540</v>
      </c>
      <c r="I281" s="11" t="s">
        <v>22</v>
      </c>
      <c r="J281" s="11"/>
      <c r="K281" s="11">
        <v>5</v>
      </c>
      <c r="L281" s="40"/>
    </row>
    <row r="282" spans="1:12" x14ac:dyDescent="0.25">
      <c r="A282" s="121" t="s">
        <v>541</v>
      </c>
      <c r="B282" s="83" t="s">
        <v>542</v>
      </c>
      <c r="C282" s="124" t="s">
        <v>181</v>
      </c>
      <c r="D282" s="14"/>
      <c r="E282" s="31">
        <f>SUM(E283:E285)</f>
        <v>3080</v>
      </c>
      <c r="F282" s="31">
        <f>SUM(F283:F285)</f>
        <v>3000</v>
      </c>
      <c r="G282" s="31">
        <f>SUM(G283:G285)</f>
        <v>3000</v>
      </c>
      <c r="H282" s="14" t="s">
        <v>543</v>
      </c>
      <c r="I282" s="15" t="s">
        <v>22</v>
      </c>
      <c r="J282" s="15">
        <v>14</v>
      </c>
      <c r="K282" s="15">
        <v>5</v>
      </c>
      <c r="L282" s="39">
        <v>10</v>
      </c>
    </row>
    <row r="283" spans="1:12" x14ac:dyDescent="0.25">
      <c r="A283" s="122"/>
      <c r="B283" s="84"/>
      <c r="C283" s="125"/>
      <c r="D283" s="10" t="s">
        <v>514</v>
      </c>
      <c r="E283" s="32">
        <v>500</v>
      </c>
      <c r="F283" s="32">
        <v>500</v>
      </c>
      <c r="G283" s="32">
        <v>500</v>
      </c>
      <c r="H283" s="10" t="s">
        <v>544</v>
      </c>
      <c r="I283" s="11" t="s">
        <v>386</v>
      </c>
      <c r="J283" s="11">
        <v>3.5</v>
      </c>
      <c r="K283" s="11">
        <v>3.5</v>
      </c>
      <c r="L283" s="40">
        <v>3.5</v>
      </c>
    </row>
    <row r="284" spans="1:12" ht="27.6" x14ac:dyDescent="0.25">
      <c r="A284" s="122"/>
      <c r="B284" s="84"/>
      <c r="C284" s="125"/>
      <c r="D284" s="77" t="s">
        <v>40</v>
      </c>
      <c r="E284" s="108">
        <v>2580</v>
      </c>
      <c r="F284" s="108">
        <v>2500</v>
      </c>
      <c r="G284" s="108">
        <v>2500</v>
      </c>
      <c r="H284" s="10" t="s">
        <v>545</v>
      </c>
      <c r="I284" s="11" t="s">
        <v>29</v>
      </c>
      <c r="J284" s="11">
        <v>80</v>
      </c>
      <c r="K284" s="11">
        <v>100</v>
      </c>
      <c r="L284" s="40"/>
    </row>
    <row r="285" spans="1:12" ht="14.4" thickBot="1" x14ac:dyDescent="0.3">
      <c r="A285" s="123"/>
      <c r="B285" s="78"/>
      <c r="C285" s="126"/>
      <c r="D285" s="78"/>
      <c r="E285" s="110"/>
      <c r="F285" s="110"/>
      <c r="G285" s="110"/>
      <c r="H285" s="10" t="s">
        <v>546</v>
      </c>
      <c r="I285" s="11" t="s">
        <v>386</v>
      </c>
      <c r="J285" s="11"/>
      <c r="K285" s="11">
        <v>0.14000000000000001</v>
      </c>
      <c r="L285" s="40"/>
    </row>
    <row r="286" spans="1:12" ht="28.2" thickBot="1" x14ac:dyDescent="0.3">
      <c r="A286" s="12" t="s">
        <v>547</v>
      </c>
      <c r="B286" s="13" t="s">
        <v>548</v>
      </c>
      <c r="C286" s="13" t="s">
        <v>181</v>
      </c>
      <c r="D286" s="14" t="s">
        <v>40</v>
      </c>
      <c r="E286" s="33">
        <v>0</v>
      </c>
      <c r="F286" s="33">
        <v>10000</v>
      </c>
      <c r="G286" s="33">
        <v>10000</v>
      </c>
      <c r="H286" s="14" t="s">
        <v>549</v>
      </c>
      <c r="I286" s="15" t="s">
        <v>29</v>
      </c>
      <c r="J286" s="15"/>
      <c r="K286" s="15">
        <v>70</v>
      </c>
      <c r="L286" s="39">
        <v>100</v>
      </c>
    </row>
    <row r="287" spans="1:12" ht="27.6" x14ac:dyDescent="0.25">
      <c r="A287" s="121" t="s">
        <v>550</v>
      </c>
      <c r="B287" s="83" t="s">
        <v>551</v>
      </c>
      <c r="C287" s="124" t="s">
        <v>552</v>
      </c>
      <c r="D287" s="14"/>
      <c r="E287" s="31">
        <f>SUM(E288:E297)</f>
        <v>3003</v>
      </c>
      <c r="F287" s="31">
        <f>SUM(F288:F297)</f>
        <v>2959</v>
      </c>
      <c r="G287" s="31">
        <f>SUM(G288:G297)</f>
        <v>3336</v>
      </c>
      <c r="H287" s="14" t="s">
        <v>553</v>
      </c>
      <c r="I287" s="15" t="s">
        <v>22</v>
      </c>
      <c r="J287" s="41">
        <v>15890</v>
      </c>
      <c r="K287" s="41">
        <v>16000</v>
      </c>
      <c r="L287" s="53">
        <v>17000</v>
      </c>
    </row>
    <row r="288" spans="1:12" x14ac:dyDescent="0.25">
      <c r="A288" s="122"/>
      <c r="B288" s="84"/>
      <c r="C288" s="125"/>
      <c r="D288" s="10" t="s">
        <v>514</v>
      </c>
      <c r="E288" s="32">
        <v>60</v>
      </c>
      <c r="F288" s="32">
        <v>60</v>
      </c>
      <c r="G288" s="32">
        <v>60</v>
      </c>
      <c r="H288" s="10" t="s">
        <v>554</v>
      </c>
      <c r="I288" s="11" t="s">
        <v>22</v>
      </c>
      <c r="J288" s="11">
        <v>51</v>
      </c>
      <c r="K288" s="11">
        <v>51</v>
      </c>
      <c r="L288" s="40">
        <v>53</v>
      </c>
    </row>
    <row r="289" spans="1:12" ht="27.6" x14ac:dyDescent="0.25">
      <c r="A289" s="122"/>
      <c r="B289" s="84"/>
      <c r="C289" s="125"/>
      <c r="D289" s="77" t="s">
        <v>40</v>
      </c>
      <c r="E289" s="108">
        <v>2943</v>
      </c>
      <c r="F289" s="108">
        <v>2899</v>
      </c>
      <c r="G289" s="108">
        <v>3276</v>
      </c>
      <c r="H289" s="10" t="s">
        <v>555</v>
      </c>
      <c r="I289" s="11" t="s">
        <v>556</v>
      </c>
      <c r="J289" s="42">
        <v>2600000</v>
      </c>
      <c r="K289" s="42">
        <v>2600000</v>
      </c>
      <c r="L289" s="44">
        <v>2600000</v>
      </c>
    </row>
    <row r="290" spans="1:12" x14ac:dyDescent="0.25">
      <c r="A290" s="122"/>
      <c r="B290" s="84"/>
      <c r="C290" s="125"/>
      <c r="D290" s="84"/>
      <c r="E290" s="109"/>
      <c r="F290" s="109"/>
      <c r="G290" s="109"/>
      <c r="H290" s="10" t="s">
        <v>557</v>
      </c>
      <c r="I290" s="11" t="s">
        <v>22</v>
      </c>
      <c r="J290" s="11">
        <v>12</v>
      </c>
      <c r="K290" s="11">
        <v>12</v>
      </c>
      <c r="L290" s="40">
        <v>16</v>
      </c>
    </row>
    <row r="291" spans="1:12" ht="27.6" x14ac:dyDescent="0.25">
      <c r="A291" s="122"/>
      <c r="B291" s="84"/>
      <c r="C291" s="125"/>
      <c r="D291" s="84"/>
      <c r="E291" s="109"/>
      <c r="F291" s="109"/>
      <c r="G291" s="109"/>
      <c r="H291" s="10" t="s">
        <v>558</v>
      </c>
      <c r="I291" s="11" t="s">
        <v>22</v>
      </c>
      <c r="J291" s="11">
        <v>600</v>
      </c>
      <c r="K291" s="11">
        <v>700</v>
      </c>
      <c r="L291" s="54">
        <v>1000</v>
      </c>
    </row>
    <row r="292" spans="1:12" x14ac:dyDescent="0.25">
      <c r="A292" s="122"/>
      <c r="B292" s="84"/>
      <c r="C292" s="125"/>
      <c r="D292" s="84"/>
      <c r="E292" s="109"/>
      <c r="F292" s="109"/>
      <c r="G292" s="109"/>
      <c r="H292" s="10" t="s">
        <v>559</v>
      </c>
      <c r="I292" s="11" t="s">
        <v>22</v>
      </c>
      <c r="J292" s="11">
        <v>15</v>
      </c>
      <c r="K292" s="11">
        <v>15</v>
      </c>
      <c r="L292" s="40">
        <v>15</v>
      </c>
    </row>
    <row r="293" spans="1:12" ht="27.6" x14ac:dyDescent="0.25">
      <c r="A293" s="122"/>
      <c r="B293" s="84"/>
      <c r="C293" s="125"/>
      <c r="D293" s="84"/>
      <c r="E293" s="109"/>
      <c r="F293" s="109"/>
      <c r="G293" s="109"/>
      <c r="H293" s="10" t="s">
        <v>560</v>
      </c>
      <c r="I293" s="11" t="s">
        <v>22</v>
      </c>
      <c r="J293" s="11">
        <v>2</v>
      </c>
      <c r="K293" s="11">
        <v>2</v>
      </c>
      <c r="L293" s="40">
        <v>2</v>
      </c>
    </row>
    <row r="294" spans="1:12" x14ac:dyDescent="0.25">
      <c r="A294" s="122"/>
      <c r="B294" s="84"/>
      <c r="C294" s="125"/>
      <c r="D294" s="84"/>
      <c r="E294" s="109"/>
      <c r="F294" s="109"/>
      <c r="G294" s="109"/>
      <c r="H294" s="10" t="s">
        <v>561</v>
      </c>
      <c r="I294" s="11" t="s">
        <v>22</v>
      </c>
      <c r="J294" s="42">
        <v>12800</v>
      </c>
      <c r="K294" s="42">
        <v>12900</v>
      </c>
      <c r="L294" s="44">
        <v>13000</v>
      </c>
    </row>
    <row r="295" spans="1:12" x14ac:dyDescent="0.25">
      <c r="A295" s="122"/>
      <c r="B295" s="84"/>
      <c r="C295" s="125"/>
      <c r="D295" s="84"/>
      <c r="E295" s="109"/>
      <c r="F295" s="109"/>
      <c r="G295" s="109"/>
      <c r="H295" s="10" t="s">
        <v>562</v>
      </c>
      <c r="I295" s="11" t="s">
        <v>22</v>
      </c>
      <c r="J295" s="11">
        <v>122</v>
      </c>
      <c r="K295" s="11">
        <v>123</v>
      </c>
      <c r="L295" s="40">
        <v>124</v>
      </c>
    </row>
    <row r="296" spans="1:12" ht="41.4" x14ac:dyDescent="0.25">
      <c r="A296" s="122"/>
      <c r="B296" s="84"/>
      <c r="C296" s="125"/>
      <c r="D296" s="84"/>
      <c r="E296" s="109"/>
      <c r="F296" s="109"/>
      <c r="G296" s="109"/>
      <c r="H296" s="10" t="s">
        <v>563</v>
      </c>
      <c r="I296" s="11" t="s">
        <v>22</v>
      </c>
      <c r="J296" s="11">
        <v>11</v>
      </c>
      <c r="K296" s="11">
        <v>12</v>
      </c>
      <c r="L296" s="40">
        <v>12</v>
      </c>
    </row>
    <row r="297" spans="1:12" ht="42" thickBot="1" x14ac:dyDescent="0.3">
      <c r="A297" s="123"/>
      <c r="B297" s="78"/>
      <c r="C297" s="126"/>
      <c r="D297" s="78"/>
      <c r="E297" s="110"/>
      <c r="F297" s="110"/>
      <c r="G297" s="110"/>
      <c r="H297" s="10" t="s">
        <v>564</v>
      </c>
      <c r="I297" s="11" t="s">
        <v>22</v>
      </c>
      <c r="J297" s="11">
        <v>1</v>
      </c>
      <c r="K297" s="11">
        <v>1</v>
      </c>
      <c r="L297" s="40">
        <v>1</v>
      </c>
    </row>
    <row r="298" spans="1:12" ht="28.2" hidden="1" thickBot="1" x14ac:dyDescent="0.3">
      <c r="A298" s="64" t="s">
        <v>565</v>
      </c>
      <c r="B298" s="13" t="s">
        <v>566</v>
      </c>
      <c r="C298" s="13" t="s">
        <v>181</v>
      </c>
      <c r="D298" s="14"/>
      <c r="E298" s="33">
        <v>0</v>
      </c>
      <c r="F298" s="33">
        <v>0</v>
      </c>
      <c r="G298" s="33">
        <v>0</v>
      </c>
      <c r="H298" s="14" t="s">
        <v>567</v>
      </c>
      <c r="I298" s="15" t="s">
        <v>22</v>
      </c>
      <c r="J298" s="15">
        <v>5</v>
      </c>
      <c r="K298" s="15">
        <v>6</v>
      </c>
      <c r="L298" s="39"/>
    </row>
    <row r="299" spans="1:12" ht="27.6" x14ac:dyDescent="0.25">
      <c r="A299" s="127" t="s">
        <v>568</v>
      </c>
      <c r="B299" s="129" t="s">
        <v>569</v>
      </c>
      <c r="C299" s="130"/>
      <c r="D299" s="131"/>
      <c r="E299" s="88">
        <f>E300+E301+E304+E307+E311+E314+E317</f>
        <v>9157.9</v>
      </c>
      <c r="F299" s="88">
        <f>F300+F301+F304+F307+F311+F314+F317</f>
        <v>11801</v>
      </c>
      <c r="G299" s="88">
        <f>G300+G301+G304+G307+G311+G314+G317</f>
        <v>8164.1</v>
      </c>
      <c r="H299" s="7" t="s">
        <v>570</v>
      </c>
      <c r="I299" s="8" t="s">
        <v>29</v>
      </c>
      <c r="J299" s="8">
        <v>8</v>
      </c>
      <c r="K299" s="8">
        <v>9</v>
      </c>
      <c r="L299" s="43">
        <v>10</v>
      </c>
    </row>
    <row r="300" spans="1:12" ht="28.2" thickBot="1" x14ac:dyDescent="0.3">
      <c r="A300" s="128"/>
      <c r="B300" s="132"/>
      <c r="C300" s="133"/>
      <c r="D300" s="134"/>
      <c r="E300" s="90"/>
      <c r="F300" s="90"/>
      <c r="G300" s="90"/>
      <c r="H300" s="22" t="s">
        <v>571</v>
      </c>
      <c r="I300" s="23" t="s">
        <v>370</v>
      </c>
      <c r="J300" s="23">
        <v>1.3</v>
      </c>
      <c r="K300" s="23">
        <v>1.9</v>
      </c>
      <c r="L300" s="38">
        <v>1.9</v>
      </c>
    </row>
    <row r="301" spans="1:12" ht="34.5" customHeight="1" x14ac:dyDescent="0.25">
      <c r="A301" s="121" t="s">
        <v>572</v>
      </c>
      <c r="B301" s="83" t="s">
        <v>573</v>
      </c>
      <c r="C301" s="124" t="s">
        <v>574</v>
      </c>
      <c r="D301" s="14"/>
      <c r="E301" s="31">
        <f>SUM(E302:E303)</f>
        <v>3977.7</v>
      </c>
      <c r="F301" s="31">
        <f>SUM(F302:F303)</f>
        <v>4565.8</v>
      </c>
      <c r="G301" s="31">
        <f>SUM(G302:G303)</f>
        <v>4564.1000000000004</v>
      </c>
      <c r="H301" s="83" t="s">
        <v>575</v>
      </c>
      <c r="I301" s="98" t="s">
        <v>29</v>
      </c>
      <c r="J301" s="98">
        <v>100</v>
      </c>
      <c r="K301" s="98">
        <v>100</v>
      </c>
      <c r="L301" s="99">
        <v>100</v>
      </c>
    </row>
    <row r="302" spans="1:12" x14ac:dyDescent="0.25">
      <c r="A302" s="122"/>
      <c r="B302" s="84"/>
      <c r="C302" s="125"/>
      <c r="D302" s="10" t="s">
        <v>40</v>
      </c>
      <c r="E302" s="32">
        <v>0</v>
      </c>
      <c r="F302" s="32">
        <v>0</v>
      </c>
      <c r="G302" s="32">
        <v>3788.9</v>
      </c>
      <c r="H302" s="84"/>
      <c r="I302" s="91"/>
      <c r="J302" s="91"/>
      <c r="K302" s="91"/>
      <c r="L302" s="97"/>
    </row>
    <row r="303" spans="1:12" ht="14.4" thickBot="1" x14ac:dyDescent="0.3">
      <c r="A303" s="123"/>
      <c r="B303" s="78"/>
      <c r="C303" s="126"/>
      <c r="D303" s="10" t="s">
        <v>476</v>
      </c>
      <c r="E303" s="32">
        <v>3977.7</v>
      </c>
      <c r="F303" s="32">
        <v>4565.8</v>
      </c>
      <c r="G303" s="32">
        <v>775.2</v>
      </c>
      <c r="H303" s="78"/>
      <c r="I303" s="80"/>
      <c r="J303" s="80"/>
      <c r="K303" s="80"/>
      <c r="L303" s="82"/>
    </row>
    <row r="304" spans="1:12" ht="41.4" x14ac:dyDescent="0.25">
      <c r="A304" s="121" t="s">
        <v>576</v>
      </c>
      <c r="B304" s="83" t="s">
        <v>577</v>
      </c>
      <c r="C304" s="124" t="s">
        <v>181</v>
      </c>
      <c r="D304" s="83" t="s">
        <v>40</v>
      </c>
      <c r="E304" s="85">
        <f>SUM(E305:E306)+850</f>
        <v>850</v>
      </c>
      <c r="F304" s="85">
        <f>SUM(F305:F306)+850</f>
        <v>850</v>
      </c>
      <c r="G304" s="85">
        <f>SUM(G305:G306)+850</f>
        <v>850</v>
      </c>
      <c r="H304" s="14" t="s">
        <v>578</v>
      </c>
      <c r="I304" s="15" t="s">
        <v>29</v>
      </c>
      <c r="J304" s="15">
        <v>100</v>
      </c>
      <c r="K304" s="15">
        <v>100</v>
      </c>
      <c r="L304" s="39">
        <v>100</v>
      </c>
    </row>
    <row r="305" spans="1:12" x14ac:dyDescent="0.25">
      <c r="A305" s="122"/>
      <c r="B305" s="84"/>
      <c r="C305" s="125"/>
      <c r="D305" s="84"/>
      <c r="E305" s="86"/>
      <c r="F305" s="86"/>
      <c r="G305" s="86"/>
      <c r="H305" s="10" t="s">
        <v>579</v>
      </c>
      <c r="I305" s="11" t="s">
        <v>22</v>
      </c>
      <c r="J305" s="11">
        <v>15</v>
      </c>
      <c r="K305" s="11">
        <v>15</v>
      </c>
      <c r="L305" s="40">
        <v>15</v>
      </c>
    </row>
    <row r="306" spans="1:12" ht="14.4" thickBot="1" x14ac:dyDescent="0.3">
      <c r="A306" s="123"/>
      <c r="B306" s="78"/>
      <c r="C306" s="126"/>
      <c r="D306" s="78"/>
      <c r="E306" s="87"/>
      <c r="F306" s="87"/>
      <c r="G306" s="87"/>
      <c r="H306" s="10" t="s">
        <v>580</v>
      </c>
      <c r="I306" s="11" t="s">
        <v>22</v>
      </c>
      <c r="J306" s="11">
        <v>220</v>
      </c>
      <c r="K306" s="11">
        <v>220</v>
      </c>
      <c r="L306" s="40">
        <v>220</v>
      </c>
    </row>
    <row r="307" spans="1:12" ht="30" customHeight="1" x14ac:dyDescent="0.25">
      <c r="A307" s="121" t="s">
        <v>581</v>
      </c>
      <c r="B307" s="83" t="s">
        <v>582</v>
      </c>
      <c r="C307" s="124" t="s">
        <v>583</v>
      </c>
      <c r="D307" s="14"/>
      <c r="E307" s="31">
        <f>SUM(E308:E310)</f>
        <v>1360.1</v>
      </c>
      <c r="F307" s="31">
        <f>SUM(F308:F310)</f>
        <v>4135.2</v>
      </c>
      <c r="G307" s="31">
        <f>SUM(G308:G310)</f>
        <v>500</v>
      </c>
      <c r="H307" s="83" t="s">
        <v>584</v>
      </c>
      <c r="I307" s="98" t="s">
        <v>29</v>
      </c>
      <c r="J307" s="98">
        <v>65</v>
      </c>
      <c r="K307" s="98">
        <v>100</v>
      </c>
      <c r="L307" s="99"/>
    </row>
    <row r="308" spans="1:12" x14ac:dyDescent="0.25">
      <c r="A308" s="122"/>
      <c r="B308" s="84"/>
      <c r="C308" s="125"/>
      <c r="D308" s="10" t="s">
        <v>520</v>
      </c>
      <c r="E308" s="32">
        <v>0</v>
      </c>
      <c r="F308" s="32">
        <v>3000</v>
      </c>
      <c r="G308" s="32">
        <v>0</v>
      </c>
      <c r="H308" s="84"/>
      <c r="I308" s="91"/>
      <c r="J308" s="91"/>
      <c r="K308" s="91"/>
      <c r="L308" s="97"/>
    </row>
    <row r="309" spans="1:12" x14ac:dyDescent="0.25">
      <c r="A309" s="122"/>
      <c r="B309" s="84"/>
      <c r="C309" s="125"/>
      <c r="D309" s="10" t="s">
        <v>40</v>
      </c>
      <c r="E309" s="32">
        <v>275.10000000000002</v>
      </c>
      <c r="F309" s="32">
        <v>450.1</v>
      </c>
      <c r="G309" s="32">
        <v>500</v>
      </c>
      <c r="H309" s="84"/>
      <c r="I309" s="91"/>
      <c r="J309" s="91"/>
      <c r="K309" s="91"/>
      <c r="L309" s="97"/>
    </row>
    <row r="310" spans="1:12" ht="14.4" thickBot="1" x14ac:dyDescent="0.3">
      <c r="A310" s="123"/>
      <c r="B310" s="78"/>
      <c r="C310" s="126"/>
      <c r="D310" s="10" t="s">
        <v>30</v>
      </c>
      <c r="E310" s="32">
        <v>1085</v>
      </c>
      <c r="F310" s="32">
        <v>685.1</v>
      </c>
      <c r="G310" s="32">
        <v>0</v>
      </c>
      <c r="H310" s="78"/>
      <c r="I310" s="80"/>
      <c r="J310" s="80"/>
      <c r="K310" s="80"/>
      <c r="L310" s="82"/>
    </row>
    <row r="311" spans="1:12" ht="30.75" customHeight="1" x14ac:dyDescent="0.25">
      <c r="A311" s="121" t="s">
        <v>585</v>
      </c>
      <c r="B311" s="83" t="s">
        <v>586</v>
      </c>
      <c r="C311" s="124" t="s">
        <v>405</v>
      </c>
      <c r="D311" s="14"/>
      <c r="E311" s="31">
        <f>SUM(E312:E313)</f>
        <v>240.1</v>
      </c>
      <c r="F311" s="31">
        <f>SUM(F312:F313)</f>
        <v>0</v>
      </c>
      <c r="G311" s="31">
        <f>SUM(G312:G313)</f>
        <v>0</v>
      </c>
      <c r="H311" s="14" t="s">
        <v>587</v>
      </c>
      <c r="I311" s="15" t="s">
        <v>29</v>
      </c>
      <c r="J311" s="15">
        <v>100</v>
      </c>
      <c r="K311" s="15"/>
      <c r="L311" s="39"/>
    </row>
    <row r="312" spans="1:12" x14ac:dyDescent="0.25">
      <c r="A312" s="122"/>
      <c r="B312" s="84"/>
      <c r="C312" s="125"/>
      <c r="D312" s="10" t="s">
        <v>40</v>
      </c>
      <c r="E312" s="32">
        <v>98.4</v>
      </c>
      <c r="F312" s="32">
        <v>0</v>
      </c>
      <c r="G312" s="32">
        <v>0</v>
      </c>
      <c r="H312" s="77" t="s">
        <v>588</v>
      </c>
      <c r="I312" s="79" t="s">
        <v>22</v>
      </c>
      <c r="J312" s="79">
        <v>1</v>
      </c>
      <c r="K312" s="79"/>
      <c r="L312" s="81"/>
    </row>
    <row r="313" spans="1:12" ht="14.4" thickBot="1" x14ac:dyDescent="0.3">
      <c r="A313" s="123"/>
      <c r="B313" s="78"/>
      <c r="C313" s="126"/>
      <c r="D313" s="10" t="s">
        <v>30</v>
      </c>
      <c r="E313" s="32">
        <v>141.69999999999999</v>
      </c>
      <c r="F313" s="32"/>
      <c r="G313" s="32"/>
      <c r="H313" s="78"/>
      <c r="I313" s="80"/>
      <c r="J313" s="80"/>
      <c r="K313" s="80"/>
      <c r="L313" s="82"/>
    </row>
    <row r="314" spans="1:12" ht="27.6" x14ac:dyDescent="0.25">
      <c r="A314" s="121" t="s">
        <v>589</v>
      </c>
      <c r="B314" s="83" t="s">
        <v>590</v>
      </c>
      <c r="C314" s="124" t="s">
        <v>181</v>
      </c>
      <c r="D314" s="83" t="s">
        <v>40</v>
      </c>
      <c r="E314" s="85">
        <f>SUM(E315:E316)+2480</f>
        <v>2480</v>
      </c>
      <c r="F314" s="85">
        <f>SUM(F315:F316)+2000</f>
        <v>2000</v>
      </c>
      <c r="G314" s="85">
        <f>SUM(G315:G316)+2000</f>
        <v>2000</v>
      </c>
      <c r="H314" s="14" t="s">
        <v>591</v>
      </c>
      <c r="I314" s="15" t="s">
        <v>368</v>
      </c>
      <c r="J314" s="15">
        <v>5</v>
      </c>
      <c r="K314" s="15">
        <v>10</v>
      </c>
      <c r="L314" s="39">
        <v>8</v>
      </c>
    </row>
    <row r="315" spans="1:12" x14ac:dyDescent="0.25">
      <c r="A315" s="122"/>
      <c r="B315" s="84"/>
      <c r="C315" s="125"/>
      <c r="D315" s="84"/>
      <c r="E315" s="86"/>
      <c r="F315" s="86"/>
      <c r="G315" s="86"/>
      <c r="H315" s="10" t="s">
        <v>592</v>
      </c>
      <c r="I315" s="11" t="s">
        <v>22</v>
      </c>
      <c r="J315" s="11">
        <v>8</v>
      </c>
      <c r="K315" s="11">
        <v>8</v>
      </c>
      <c r="L315" s="40">
        <v>8</v>
      </c>
    </row>
    <row r="316" spans="1:12" ht="14.4" thickBot="1" x14ac:dyDescent="0.3">
      <c r="A316" s="123"/>
      <c r="B316" s="78"/>
      <c r="C316" s="126"/>
      <c r="D316" s="78"/>
      <c r="E316" s="87"/>
      <c r="F316" s="87"/>
      <c r="G316" s="87"/>
      <c r="H316" s="10" t="s">
        <v>593</v>
      </c>
      <c r="I316" s="11" t="s">
        <v>22</v>
      </c>
      <c r="J316" s="11">
        <v>300</v>
      </c>
      <c r="K316" s="11">
        <v>300</v>
      </c>
      <c r="L316" s="40">
        <v>300</v>
      </c>
    </row>
    <row r="317" spans="1:12" ht="33" customHeight="1" thickBot="1" x14ac:dyDescent="0.3">
      <c r="A317" s="12" t="s">
        <v>594</v>
      </c>
      <c r="B317" s="13" t="s">
        <v>595</v>
      </c>
      <c r="C317" s="13" t="s">
        <v>181</v>
      </c>
      <c r="D317" s="14" t="s">
        <v>40</v>
      </c>
      <c r="E317" s="33">
        <v>250</v>
      </c>
      <c r="F317" s="33">
        <v>250</v>
      </c>
      <c r="G317" s="33">
        <v>250</v>
      </c>
      <c r="H317" s="14" t="s">
        <v>596</v>
      </c>
      <c r="I317" s="15" t="s">
        <v>22</v>
      </c>
      <c r="J317" s="15">
        <v>35</v>
      </c>
      <c r="K317" s="15">
        <v>40</v>
      </c>
      <c r="L317" s="39">
        <v>40</v>
      </c>
    </row>
    <row r="318" spans="1:12" ht="27.75" customHeight="1" thickBot="1" x14ac:dyDescent="0.3">
      <c r="A318" s="4" t="s">
        <v>597</v>
      </c>
      <c r="B318" s="5" t="s">
        <v>598</v>
      </c>
      <c r="C318" s="92" t="s">
        <v>599</v>
      </c>
      <c r="D318" s="93"/>
      <c r="E318" s="28">
        <f>E319+E349+E375</f>
        <v>2502.5</v>
      </c>
      <c r="F318" s="28">
        <f>F319+F349+F375</f>
        <v>2539</v>
      </c>
      <c r="G318" s="28">
        <f>G319+G349+G375</f>
        <v>3531.1</v>
      </c>
      <c r="H318" s="94"/>
      <c r="I318" s="95"/>
      <c r="J318" s="95"/>
      <c r="K318" s="95"/>
      <c r="L318" s="96"/>
    </row>
    <row r="319" spans="1:12" ht="27.6" x14ac:dyDescent="0.25">
      <c r="A319" s="127" t="s">
        <v>600</v>
      </c>
      <c r="B319" s="129" t="s">
        <v>601</v>
      </c>
      <c r="C319" s="130"/>
      <c r="D319" s="131"/>
      <c r="E319" s="88">
        <f>E320+E321+E322+E323+E326+E328+E329+E330+E331+E334+E335+E344+E348</f>
        <v>1764.8</v>
      </c>
      <c r="F319" s="88">
        <f>F320+F321+F322+F323+F326+F328+F329+F330+F331+F334+F335+F344+F348</f>
        <v>1838.5</v>
      </c>
      <c r="G319" s="88">
        <f>G320+G321+G322+G323+G326+G328+G329+G330+G331+G334+G335+G344+G348</f>
        <v>2888</v>
      </c>
      <c r="H319" s="7" t="s">
        <v>602</v>
      </c>
      <c r="I319" s="8" t="s">
        <v>20</v>
      </c>
      <c r="J319" s="45">
        <v>3400</v>
      </c>
      <c r="K319" s="45">
        <v>3400</v>
      </c>
      <c r="L319" s="46">
        <v>3450</v>
      </c>
    </row>
    <row r="320" spans="1:12" ht="27.6" x14ac:dyDescent="0.25">
      <c r="A320" s="138"/>
      <c r="B320" s="139"/>
      <c r="C320" s="140"/>
      <c r="D320" s="141"/>
      <c r="E320" s="89"/>
      <c r="F320" s="89"/>
      <c r="G320" s="89"/>
      <c r="H320" s="22" t="s">
        <v>603</v>
      </c>
      <c r="I320" s="23" t="s">
        <v>29</v>
      </c>
      <c r="J320" s="23">
        <v>6.5</v>
      </c>
      <c r="K320" s="23">
        <v>6.4</v>
      </c>
      <c r="L320" s="38">
        <v>6.3</v>
      </c>
    </row>
    <row r="321" spans="1:12" ht="28.2" thickBot="1" x14ac:dyDescent="0.3">
      <c r="A321" s="128"/>
      <c r="B321" s="132"/>
      <c r="C321" s="133"/>
      <c r="D321" s="134"/>
      <c r="E321" s="90"/>
      <c r="F321" s="90"/>
      <c r="G321" s="90"/>
      <c r="H321" s="22" t="s">
        <v>604</v>
      </c>
      <c r="I321" s="23" t="s">
        <v>22</v>
      </c>
      <c r="J321" s="23">
        <v>43</v>
      </c>
      <c r="K321" s="23">
        <v>43.4</v>
      </c>
      <c r="L321" s="38">
        <v>43.8</v>
      </c>
    </row>
    <row r="322" spans="1:12" ht="28.2" thickBot="1" x14ac:dyDescent="0.3">
      <c r="A322" s="12" t="s">
        <v>605</v>
      </c>
      <c r="B322" s="13" t="s">
        <v>606</v>
      </c>
      <c r="C322" s="13" t="s">
        <v>134</v>
      </c>
      <c r="D322" s="14" t="s">
        <v>40</v>
      </c>
      <c r="E322" s="33">
        <v>100</v>
      </c>
      <c r="F322" s="33">
        <v>100</v>
      </c>
      <c r="G322" s="33">
        <v>110</v>
      </c>
      <c r="H322" s="14" t="s">
        <v>607</v>
      </c>
      <c r="I322" s="15" t="s">
        <v>22</v>
      </c>
      <c r="J322" s="15">
        <v>10</v>
      </c>
      <c r="K322" s="15">
        <v>10</v>
      </c>
      <c r="L322" s="39">
        <v>10</v>
      </c>
    </row>
    <row r="323" spans="1:12" x14ac:dyDescent="0.25">
      <c r="A323" s="121" t="s">
        <v>608</v>
      </c>
      <c r="B323" s="83" t="s">
        <v>609</v>
      </c>
      <c r="C323" s="124" t="s">
        <v>134</v>
      </c>
      <c r="D323" s="83" t="s">
        <v>40</v>
      </c>
      <c r="E323" s="85">
        <f>SUM(E324:E325)+25</f>
        <v>25</v>
      </c>
      <c r="F323" s="85">
        <f>SUM(F324:F325)+27</f>
        <v>27</v>
      </c>
      <c r="G323" s="85">
        <f>SUM(G324:G325)+30</f>
        <v>30</v>
      </c>
      <c r="H323" s="14" t="s">
        <v>610</v>
      </c>
      <c r="I323" s="15" t="s">
        <v>22</v>
      </c>
      <c r="J323" s="15">
        <v>5</v>
      </c>
      <c r="K323" s="15">
        <v>5</v>
      </c>
      <c r="L323" s="39">
        <v>5</v>
      </c>
    </row>
    <row r="324" spans="1:12" x14ac:dyDescent="0.25">
      <c r="A324" s="122"/>
      <c r="B324" s="84"/>
      <c r="C324" s="125"/>
      <c r="D324" s="84"/>
      <c r="E324" s="86"/>
      <c r="F324" s="86"/>
      <c r="G324" s="86"/>
      <c r="H324" s="10" t="s">
        <v>611</v>
      </c>
      <c r="I324" s="11" t="s">
        <v>22</v>
      </c>
      <c r="J324" s="11">
        <v>6</v>
      </c>
      <c r="K324" s="11">
        <v>6</v>
      </c>
      <c r="L324" s="40">
        <v>6</v>
      </c>
    </row>
    <row r="325" spans="1:12" ht="14.4" thickBot="1" x14ac:dyDescent="0.3">
      <c r="A325" s="123"/>
      <c r="B325" s="78"/>
      <c r="C325" s="126"/>
      <c r="D325" s="78"/>
      <c r="E325" s="87"/>
      <c r="F325" s="87"/>
      <c r="G325" s="87"/>
      <c r="H325" s="10" t="s">
        <v>612</v>
      </c>
      <c r="I325" s="11" t="s">
        <v>613</v>
      </c>
      <c r="J325" s="11">
        <v>280</v>
      </c>
      <c r="K325" s="11">
        <v>280</v>
      </c>
      <c r="L325" s="40">
        <v>280</v>
      </c>
    </row>
    <row r="326" spans="1:12" x14ac:dyDescent="0.25">
      <c r="A326" s="121" t="s">
        <v>614</v>
      </c>
      <c r="B326" s="83" t="s">
        <v>615</v>
      </c>
      <c r="C326" s="124" t="s">
        <v>134</v>
      </c>
      <c r="D326" s="14" t="s">
        <v>40</v>
      </c>
      <c r="E326" s="31">
        <f>SUM(E327:E327)+48</f>
        <v>48</v>
      </c>
      <c r="F326" s="31">
        <f>SUM(F327:F327)+50</f>
        <v>50</v>
      </c>
      <c r="G326" s="31">
        <f>SUM(G327:G327)+53</f>
        <v>53</v>
      </c>
      <c r="H326" s="14" t="s">
        <v>616</v>
      </c>
      <c r="I326" s="15" t="s">
        <v>269</v>
      </c>
      <c r="J326" s="15">
        <v>35</v>
      </c>
      <c r="K326" s="15">
        <v>35</v>
      </c>
      <c r="L326" s="39">
        <v>35</v>
      </c>
    </row>
    <row r="327" spans="1:12" ht="28.2" thickBot="1" x14ac:dyDescent="0.3">
      <c r="A327" s="123"/>
      <c r="B327" s="78"/>
      <c r="C327" s="126"/>
      <c r="D327" s="10"/>
      <c r="E327" s="32">
        <v>0</v>
      </c>
      <c r="F327" s="32">
        <v>0</v>
      </c>
      <c r="G327" s="32">
        <v>0</v>
      </c>
      <c r="H327" s="10" t="s">
        <v>617</v>
      </c>
      <c r="I327" s="11" t="s">
        <v>22</v>
      </c>
      <c r="J327" s="11">
        <v>15</v>
      </c>
      <c r="K327" s="11">
        <v>15</v>
      </c>
      <c r="L327" s="40">
        <v>15</v>
      </c>
    </row>
    <row r="328" spans="1:12" ht="69.599999999999994" thickBot="1" x14ac:dyDescent="0.3">
      <c r="A328" s="12" t="s">
        <v>618</v>
      </c>
      <c r="B328" s="13" t="s">
        <v>619</v>
      </c>
      <c r="C328" s="13" t="s">
        <v>134</v>
      </c>
      <c r="D328" s="14" t="s">
        <v>40</v>
      </c>
      <c r="E328" s="33">
        <v>4</v>
      </c>
      <c r="F328" s="33">
        <v>0</v>
      </c>
      <c r="G328" s="33">
        <v>0</v>
      </c>
      <c r="H328" s="14" t="s">
        <v>620</v>
      </c>
      <c r="I328" s="15" t="s">
        <v>22</v>
      </c>
      <c r="J328" s="15">
        <v>10</v>
      </c>
      <c r="K328" s="15"/>
      <c r="L328" s="39"/>
    </row>
    <row r="329" spans="1:12" ht="55.2" x14ac:dyDescent="0.25">
      <c r="A329" s="12" t="s">
        <v>621</v>
      </c>
      <c r="B329" s="13" t="s">
        <v>622</v>
      </c>
      <c r="C329" s="13" t="s">
        <v>134</v>
      </c>
      <c r="D329" s="14" t="s">
        <v>40</v>
      </c>
      <c r="E329" s="33">
        <v>50</v>
      </c>
      <c r="F329" s="33">
        <v>50</v>
      </c>
      <c r="G329" s="33">
        <v>50</v>
      </c>
      <c r="H329" s="14" t="s">
        <v>623</v>
      </c>
      <c r="I329" s="15" t="s">
        <v>22</v>
      </c>
      <c r="J329" s="15">
        <v>2</v>
      </c>
      <c r="K329" s="15">
        <v>3</v>
      </c>
      <c r="L329" s="39">
        <v>4</v>
      </c>
    </row>
    <row r="330" spans="1:12" ht="28.2" thickBot="1" x14ac:dyDescent="0.3">
      <c r="A330" s="12" t="s">
        <v>624</v>
      </c>
      <c r="B330" s="13" t="s">
        <v>625</v>
      </c>
      <c r="C330" s="13" t="s">
        <v>626</v>
      </c>
      <c r="D330" s="14" t="s">
        <v>40</v>
      </c>
      <c r="E330" s="33">
        <v>100</v>
      </c>
      <c r="F330" s="33">
        <v>100</v>
      </c>
      <c r="G330" s="33">
        <v>100</v>
      </c>
      <c r="H330" s="14" t="s">
        <v>627</v>
      </c>
      <c r="I330" s="15" t="s">
        <v>22</v>
      </c>
      <c r="J330" s="15">
        <v>15</v>
      </c>
      <c r="K330" s="15">
        <v>15</v>
      </c>
      <c r="L330" s="39">
        <v>15</v>
      </c>
    </row>
    <row r="331" spans="1:12" ht="27.6" x14ac:dyDescent="0.25">
      <c r="A331" s="121" t="s">
        <v>628</v>
      </c>
      <c r="B331" s="83" t="s">
        <v>629</v>
      </c>
      <c r="C331" s="124" t="s">
        <v>630</v>
      </c>
      <c r="D331" s="83" t="s">
        <v>40</v>
      </c>
      <c r="E331" s="85">
        <f>SUM(E332:E333)+1100</f>
        <v>1100</v>
      </c>
      <c r="F331" s="85">
        <f>SUM(F332:F333)+1150</f>
        <v>1150</v>
      </c>
      <c r="G331" s="85">
        <f>SUM(G332:G333)+2000</f>
        <v>2000</v>
      </c>
      <c r="H331" s="14" t="s">
        <v>631</v>
      </c>
      <c r="I331" s="15" t="s">
        <v>22</v>
      </c>
      <c r="J331" s="15">
        <v>1</v>
      </c>
      <c r="K331" s="15"/>
      <c r="L331" s="39"/>
    </row>
    <row r="332" spans="1:12" x14ac:dyDescent="0.25">
      <c r="A332" s="122"/>
      <c r="B332" s="84"/>
      <c r="C332" s="125"/>
      <c r="D332" s="84"/>
      <c r="E332" s="86"/>
      <c r="F332" s="86"/>
      <c r="G332" s="86"/>
      <c r="H332" s="10" t="s">
        <v>632</v>
      </c>
      <c r="I332" s="11" t="s">
        <v>29</v>
      </c>
      <c r="J332" s="11"/>
      <c r="K332" s="11">
        <v>30</v>
      </c>
      <c r="L332" s="40">
        <v>100</v>
      </c>
    </row>
    <row r="333" spans="1:12" ht="14.4" thickBot="1" x14ac:dyDescent="0.3">
      <c r="A333" s="123"/>
      <c r="B333" s="78"/>
      <c r="C333" s="126"/>
      <c r="D333" s="78"/>
      <c r="E333" s="87"/>
      <c r="F333" s="87"/>
      <c r="G333" s="87"/>
      <c r="H333" s="10" t="s">
        <v>633</v>
      </c>
      <c r="I333" s="11" t="s">
        <v>22</v>
      </c>
      <c r="J333" s="11"/>
      <c r="K333" s="11">
        <v>10</v>
      </c>
      <c r="L333" s="40">
        <v>30</v>
      </c>
    </row>
    <row r="334" spans="1:12" ht="28.2" thickBot="1" x14ac:dyDescent="0.3">
      <c r="A334" s="12" t="s">
        <v>634</v>
      </c>
      <c r="B334" s="13" t="s">
        <v>635</v>
      </c>
      <c r="C334" s="13" t="s">
        <v>636</v>
      </c>
      <c r="D334" s="14" t="s">
        <v>40</v>
      </c>
      <c r="E334" s="33">
        <v>170</v>
      </c>
      <c r="F334" s="33">
        <v>170</v>
      </c>
      <c r="G334" s="33">
        <v>335</v>
      </c>
      <c r="H334" s="14" t="s">
        <v>637</v>
      </c>
      <c r="I334" s="15" t="s">
        <v>29</v>
      </c>
      <c r="J334" s="15">
        <v>100</v>
      </c>
      <c r="K334" s="15">
        <v>100</v>
      </c>
      <c r="L334" s="39">
        <v>100</v>
      </c>
    </row>
    <row r="335" spans="1:12" x14ac:dyDescent="0.25">
      <c r="A335" s="121" t="s">
        <v>638</v>
      </c>
      <c r="B335" s="83" t="s">
        <v>639</v>
      </c>
      <c r="C335" s="124" t="s">
        <v>134</v>
      </c>
      <c r="D335" s="83" t="s">
        <v>40</v>
      </c>
      <c r="E335" s="85">
        <f>SUM(E336:E343)+54.8</f>
        <v>54.8</v>
      </c>
      <c r="F335" s="85">
        <f>SUM(F336:F343)+62.5</f>
        <v>62.5</v>
      </c>
      <c r="G335" s="85">
        <f>SUM(G336:G343)+60</f>
        <v>60</v>
      </c>
      <c r="H335" s="14" t="s">
        <v>640</v>
      </c>
      <c r="I335" s="15" t="s">
        <v>22</v>
      </c>
      <c r="J335" s="15">
        <v>4</v>
      </c>
      <c r="K335" s="15">
        <v>4</v>
      </c>
      <c r="L335" s="39">
        <v>4</v>
      </c>
    </row>
    <row r="336" spans="1:12" ht="27.6" x14ac:dyDescent="0.25">
      <c r="A336" s="122"/>
      <c r="B336" s="84"/>
      <c r="C336" s="125"/>
      <c r="D336" s="84"/>
      <c r="E336" s="86"/>
      <c r="F336" s="86"/>
      <c r="G336" s="86"/>
      <c r="H336" s="10" t="s">
        <v>641</v>
      </c>
      <c r="I336" s="11" t="s">
        <v>22</v>
      </c>
      <c r="J336" s="11">
        <v>6</v>
      </c>
      <c r="K336" s="11">
        <v>6</v>
      </c>
      <c r="L336" s="40">
        <v>6</v>
      </c>
    </row>
    <row r="337" spans="1:12" x14ac:dyDescent="0.25">
      <c r="A337" s="122"/>
      <c r="B337" s="84"/>
      <c r="C337" s="125"/>
      <c r="D337" s="84"/>
      <c r="E337" s="86"/>
      <c r="F337" s="86"/>
      <c r="G337" s="86"/>
      <c r="H337" s="10" t="s">
        <v>642</v>
      </c>
      <c r="I337" s="11" t="s">
        <v>22</v>
      </c>
      <c r="J337" s="11">
        <v>1</v>
      </c>
      <c r="K337" s="11">
        <v>1</v>
      </c>
      <c r="L337" s="40">
        <v>1</v>
      </c>
    </row>
    <row r="338" spans="1:12" x14ac:dyDescent="0.25">
      <c r="A338" s="122"/>
      <c r="B338" s="84"/>
      <c r="C338" s="125"/>
      <c r="D338" s="84"/>
      <c r="E338" s="86"/>
      <c r="F338" s="86"/>
      <c r="G338" s="86"/>
      <c r="H338" s="10" t="s">
        <v>643</v>
      </c>
      <c r="I338" s="11" t="s">
        <v>22</v>
      </c>
      <c r="J338" s="11">
        <v>1</v>
      </c>
      <c r="K338" s="11">
        <v>1</v>
      </c>
      <c r="L338" s="40">
        <v>1</v>
      </c>
    </row>
    <row r="339" spans="1:12" x14ac:dyDescent="0.25">
      <c r="A339" s="122"/>
      <c r="B339" s="84"/>
      <c r="C339" s="125"/>
      <c r="D339" s="84"/>
      <c r="E339" s="86"/>
      <c r="F339" s="86"/>
      <c r="G339" s="86"/>
      <c r="H339" s="10" t="s">
        <v>644</v>
      </c>
      <c r="I339" s="11" t="s">
        <v>22</v>
      </c>
      <c r="J339" s="11">
        <v>1</v>
      </c>
      <c r="K339" s="11">
        <v>1</v>
      </c>
      <c r="L339" s="40">
        <v>1</v>
      </c>
    </row>
    <row r="340" spans="1:12" ht="27.6" x14ac:dyDescent="0.25">
      <c r="A340" s="122"/>
      <c r="B340" s="84"/>
      <c r="C340" s="125"/>
      <c r="D340" s="84"/>
      <c r="E340" s="86"/>
      <c r="F340" s="86"/>
      <c r="G340" s="86"/>
      <c r="H340" s="10" t="s">
        <v>645</v>
      </c>
      <c r="I340" s="11" t="s">
        <v>22</v>
      </c>
      <c r="J340" s="11">
        <v>1</v>
      </c>
      <c r="K340" s="11">
        <v>1</v>
      </c>
      <c r="L340" s="40">
        <v>1</v>
      </c>
    </row>
    <row r="341" spans="1:12" ht="41.4" x14ac:dyDescent="0.25">
      <c r="A341" s="122"/>
      <c r="B341" s="84"/>
      <c r="C341" s="125"/>
      <c r="D341" s="84"/>
      <c r="E341" s="86"/>
      <c r="F341" s="86"/>
      <c r="G341" s="86"/>
      <c r="H341" s="10" t="s">
        <v>646</v>
      </c>
      <c r="I341" s="11" t="s">
        <v>22</v>
      </c>
      <c r="J341" s="11">
        <v>2</v>
      </c>
      <c r="K341" s="11">
        <v>2</v>
      </c>
      <c r="L341" s="40">
        <v>2</v>
      </c>
    </row>
    <row r="342" spans="1:12" ht="41.4" x14ac:dyDescent="0.25">
      <c r="A342" s="122"/>
      <c r="B342" s="84"/>
      <c r="C342" s="125"/>
      <c r="D342" s="84"/>
      <c r="E342" s="86"/>
      <c r="F342" s="86"/>
      <c r="G342" s="86"/>
      <c r="H342" s="10" t="s">
        <v>647</v>
      </c>
      <c r="I342" s="11" t="s">
        <v>22</v>
      </c>
      <c r="J342" s="11">
        <v>1</v>
      </c>
      <c r="K342" s="11">
        <v>1</v>
      </c>
      <c r="L342" s="40">
        <v>1</v>
      </c>
    </row>
    <row r="343" spans="1:12" ht="28.2" thickBot="1" x14ac:dyDescent="0.3">
      <c r="A343" s="123"/>
      <c r="B343" s="78"/>
      <c r="C343" s="126"/>
      <c r="D343" s="78"/>
      <c r="E343" s="87"/>
      <c r="F343" s="87"/>
      <c r="G343" s="87"/>
      <c r="H343" s="10" t="s">
        <v>648</v>
      </c>
      <c r="I343" s="11" t="s">
        <v>22</v>
      </c>
      <c r="J343" s="11"/>
      <c r="K343" s="11">
        <v>1</v>
      </c>
      <c r="L343" s="40"/>
    </row>
    <row r="344" spans="1:12" ht="27.6" x14ac:dyDescent="0.25">
      <c r="A344" s="121" t="s">
        <v>649</v>
      </c>
      <c r="B344" s="83" t="s">
        <v>650</v>
      </c>
      <c r="C344" s="124" t="s">
        <v>651</v>
      </c>
      <c r="D344" s="83" t="s">
        <v>40</v>
      </c>
      <c r="E344" s="85">
        <f>SUM(E345:E347)+105</f>
        <v>105</v>
      </c>
      <c r="F344" s="85">
        <f>SUM(F345:F347)+119</f>
        <v>119</v>
      </c>
      <c r="G344" s="85">
        <f>SUM(G345:G347)+140</f>
        <v>140</v>
      </c>
      <c r="H344" s="14" t="s">
        <v>652</v>
      </c>
      <c r="I344" s="15" t="s">
        <v>22</v>
      </c>
      <c r="J344" s="15">
        <v>15</v>
      </c>
      <c r="K344" s="15">
        <v>17</v>
      </c>
      <c r="L344" s="39">
        <v>20</v>
      </c>
    </row>
    <row r="345" spans="1:12" x14ac:dyDescent="0.25">
      <c r="A345" s="122"/>
      <c r="B345" s="84"/>
      <c r="C345" s="125"/>
      <c r="D345" s="84"/>
      <c r="E345" s="86"/>
      <c r="F345" s="86"/>
      <c r="G345" s="86"/>
      <c r="H345" s="10" t="s">
        <v>653</v>
      </c>
      <c r="I345" s="11" t="s">
        <v>22</v>
      </c>
      <c r="J345" s="11">
        <v>10</v>
      </c>
      <c r="K345" s="11">
        <v>11</v>
      </c>
      <c r="L345" s="40">
        <v>12</v>
      </c>
    </row>
    <row r="346" spans="1:12" ht="27.6" x14ac:dyDescent="0.25">
      <c r="A346" s="122"/>
      <c r="B346" s="84"/>
      <c r="C346" s="125"/>
      <c r="D346" s="84"/>
      <c r="E346" s="86"/>
      <c r="F346" s="86"/>
      <c r="G346" s="86"/>
      <c r="H346" s="10" t="s">
        <v>654</v>
      </c>
      <c r="I346" s="11" t="s">
        <v>22</v>
      </c>
      <c r="J346" s="11">
        <v>2</v>
      </c>
      <c r="K346" s="11">
        <v>2</v>
      </c>
      <c r="L346" s="40">
        <v>2</v>
      </c>
    </row>
    <row r="347" spans="1:12" ht="28.2" thickBot="1" x14ac:dyDescent="0.3">
      <c r="A347" s="123"/>
      <c r="B347" s="78"/>
      <c r="C347" s="126"/>
      <c r="D347" s="78"/>
      <c r="E347" s="87"/>
      <c r="F347" s="87"/>
      <c r="G347" s="87"/>
      <c r="H347" s="10" t="s">
        <v>655</v>
      </c>
      <c r="I347" s="11" t="s">
        <v>656</v>
      </c>
      <c r="J347" s="11">
        <v>16.5</v>
      </c>
      <c r="K347" s="11">
        <v>17</v>
      </c>
      <c r="L347" s="40">
        <v>17.5</v>
      </c>
    </row>
    <row r="348" spans="1:12" ht="28.2" thickBot="1" x14ac:dyDescent="0.3">
      <c r="A348" s="12" t="s">
        <v>657</v>
      </c>
      <c r="B348" s="13" t="s">
        <v>658</v>
      </c>
      <c r="C348" s="13" t="s">
        <v>235</v>
      </c>
      <c r="D348" s="14" t="s">
        <v>40</v>
      </c>
      <c r="E348" s="33">
        <v>8</v>
      </c>
      <c r="F348" s="33">
        <v>10</v>
      </c>
      <c r="G348" s="33">
        <v>10</v>
      </c>
      <c r="H348" s="14" t="s">
        <v>659</v>
      </c>
      <c r="I348" s="15" t="s">
        <v>220</v>
      </c>
      <c r="J348" s="15">
        <v>28</v>
      </c>
      <c r="K348" s="15">
        <v>28</v>
      </c>
      <c r="L348" s="39">
        <v>28</v>
      </c>
    </row>
    <row r="349" spans="1:12" ht="27.6" x14ac:dyDescent="0.25">
      <c r="A349" s="127" t="s">
        <v>660</v>
      </c>
      <c r="B349" s="129" t="s">
        <v>661</v>
      </c>
      <c r="C349" s="130"/>
      <c r="D349" s="131"/>
      <c r="E349" s="88">
        <f>E350+E351+E352+E356+E357+E358+E368</f>
        <v>672.69999999999993</v>
      </c>
      <c r="F349" s="88">
        <f>F350+F351+F352+F356+F357+F358+F368</f>
        <v>618.5</v>
      </c>
      <c r="G349" s="88">
        <f>G350+G351+G352+G356+G357+G358+G368</f>
        <v>593.1</v>
      </c>
      <c r="H349" s="7" t="s">
        <v>662</v>
      </c>
      <c r="I349" s="8" t="s">
        <v>269</v>
      </c>
      <c r="J349" s="45">
        <v>130000</v>
      </c>
      <c r="K349" s="45">
        <v>132000</v>
      </c>
      <c r="L349" s="46">
        <v>134000</v>
      </c>
    </row>
    <row r="350" spans="1:12" x14ac:dyDescent="0.25">
      <c r="A350" s="138"/>
      <c r="B350" s="139"/>
      <c r="C350" s="140"/>
      <c r="D350" s="141"/>
      <c r="E350" s="89"/>
      <c r="F350" s="89"/>
      <c r="G350" s="89"/>
      <c r="H350" s="22" t="s">
        <v>663</v>
      </c>
      <c r="I350" s="23" t="s">
        <v>22</v>
      </c>
      <c r="J350" s="47">
        <v>1450</v>
      </c>
      <c r="K350" s="47">
        <v>1500</v>
      </c>
      <c r="L350" s="48">
        <v>1550</v>
      </c>
    </row>
    <row r="351" spans="1:12" ht="28.2" thickBot="1" x14ac:dyDescent="0.3">
      <c r="A351" s="128"/>
      <c r="B351" s="132"/>
      <c r="C351" s="133"/>
      <c r="D351" s="134"/>
      <c r="E351" s="90"/>
      <c r="F351" s="90"/>
      <c r="G351" s="90"/>
      <c r="H351" s="22" t="s">
        <v>664</v>
      </c>
      <c r="I351" s="23" t="s">
        <v>29</v>
      </c>
      <c r="J351" s="23">
        <v>45</v>
      </c>
      <c r="K351" s="23"/>
      <c r="L351" s="38">
        <v>60</v>
      </c>
    </row>
    <row r="352" spans="1:12" x14ac:dyDescent="0.25">
      <c r="A352" s="121" t="s">
        <v>665</v>
      </c>
      <c r="B352" s="83" t="s">
        <v>666</v>
      </c>
      <c r="C352" s="124" t="s">
        <v>667</v>
      </c>
      <c r="D352" s="14"/>
      <c r="E352" s="31">
        <f>SUM(E353:E355)</f>
        <v>422</v>
      </c>
      <c r="F352" s="31">
        <f>SUM(F353:F355)</f>
        <v>425.6</v>
      </c>
      <c r="G352" s="31">
        <f>SUM(G353:G355)</f>
        <v>426.1</v>
      </c>
      <c r="H352" s="14" t="s">
        <v>668</v>
      </c>
      <c r="I352" s="15" t="s">
        <v>22</v>
      </c>
      <c r="J352" s="15">
        <v>3</v>
      </c>
      <c r="K352" s="15">
        <v>3</v>
      </c>
      <c r="L352" s="39">
        <v>3</v>
      </c>
    </row>
    <row r="353" spans="1:12" ht="27.6" x14ac:dyDescent="0.25">
      <c r="A353" s="122"/>
      <c r="B353" s="84"/>
      <c r="C353" s="125"/>
      <c r="D353" s="10" t="s">
        <v>282</v>
      </c>
      <c r="E353" s="32">
        <v>15.1</v>
      </c>
      <c r="F353" s="32">
        <v>15.1</v>
      </c>
      <c r="G353" s="32">
        <v>15.1</v>
      </c>
      <c r="H353" s="10" t="s">
        <v>669</v>
      </c>
      <c r="I353" s="11" t="s">
        <v>22</v>
      </c>
      <c r="J353" s="42">
        <v>30000</v>
      </c>
      <c r="K353" s="42">
        <v>31000</v>
      </c>
      <c r="L353" s="44">
        <v>32000</v>
      </c>
    </row>
    <row r="354" spans="1:12" ht="45" customHeight="1" x14ac:dyDescent="0.25">
      <c r="A354" s="122"/>
      <c r="B354" s="84"/>
      <c r="C354" s="125"/>
      <c r="D354" s="10" t="s">
        <v>40</v>
      </c>
      <c r="E354" s="32">
        <v>356.9</v>
      </c>
      <c r="F354" s="32">
        <v>360.5</v>
      </c>
      <c r="G354" s="32">
        <v>361</v>
      </c>
      <c r="H354" s="77" t="s">
        <v>670</v>
      </c>
      <c r="I354" s="79" t="s">
        <v>22</v>
      </c>
      <c r="J354" s="79">
        <v>1</v>
      </c>
      <c r="K354" s="79">
        <v>1</v>
      </c>
      <c r="L354" s="81">
        <v>1</v>
      </c>
    </row>
    <row r="355" spans="1:12" ht="14.4" thickBot="1" x14ac:dyDescent="0.3">
      <c r="A355" s="123"/>
      <c r="B355" s="78"/>
      <c r="C355" s="126"/>
      <c r="D355" s="10" t="s">
        <v>108</v>
      </c>
      <c r="E355" s="32">
        <v>50</v>
      </c>
      <c r="F355" s="32">
        <v>50</v>
      </c>
      <c r="G355" s="32">
        <v>50</v>
      </c>
      <c r="H355" s="78"/>
      <c r="I355" s="80"/>
      <c r="J355" s="80"/>
      <c r="K355" s="80"/>
      <c r="L355" s="82"/>
    </row>
    <row r="356" spans="1:12" ht="69.599999999999994" thickBot="1" x14ac:dyDescent="0.3">
      <c r="A356" s="12" t="s">
        <v>671</v>
      </c>
      <c r="B356" s="13" t="s">
        <v>672</v>
      </c>
      <c r="C356" s="13" t="s">
        <v>673</v>
      </c>
      <c r="D356" s="14" t="s">
        <v>40</v>
      </c>
      <c r="E356" s="33">
        <v>2.9</v>
      </c>
      <c r="F356" s="33">
        <v>0</v>
      </c>
      <c r="G356" s="33">
        <v>0</v>
      </c>
      <c r="H356" s="14" t="s">
        <v>674</v>
      </c>
      <c r="I356" s="15" t="s">
        <v>29</v>
      </c>
      <c r="J356" s="15">
        <v>100</v>
      </c>
      <c r="K356" s="15"/>
      <c r="L356" s="39"/>
    </row>
    <row r="357" spans="1:12" ht="55.8" thickBot="1" x14ac:dyDescent="0.3">
      <c r="A357" s="12" t="s">
        <v>675</v>
      </c>
      <c r="B357" s="13" t="s">
        <v>676</v>
      </c>
      <c r="C357" s="13" t="s">
        <v>677</v>
      </c>
      <c r="D357" s="14" t="s">
        <v>40</v>
      </c>
      <c r="E357" s="33">
        <v>7.2</v>
      </c>
      <c r="F357" s="33">
        <v>0</v>
      </c>
      <c r="G357" s="33">
        <v>0</v>
      </c>
      <c r="H357" s="14" t="s">
        <v>678</v>
      </c>
      <c r="I357" s="15" t="s">
        <v>22</v>
      </c>
      <c r="J357" s="15">
        <v>11</v>
      </c>
      <c r="K357" s="15"/>
      <c r="L357" s="39"/>
    </row>
    <row r="358" spans="1:12" ht="41.4" x14ac:dyDescent="0.25">
      <c r="A358" s="121" t="s">
        <v>679</v>
      </c>
      <c r="B358" s="83" t="s">
        <v>680</v>
      </c>
      <c r="C358" s="124" t="s">
        <v>667</v>
      </c>
      <c r="D358" s="83" t="s">
        <v>40</v>
      </c>
      <c r="E358" s="85">
        <f>SUM(E359:E367)+140</f>
        <v>140</v>
      </c>
      <c r="F358" s="85">
        <f>SUM(F359:F367)+137</f>
        <v>137</v>
      </c>
      <c r="G358" s="85">
        <f>SUM(G359:G367)+140</f>
        <v>140</v>
      </c>
      <c r="H358" s="14" t="s">
        <v>681</v>
      </c>
      <c r="I358" s="15" t="s">
        <v>22</v>
      </c>
      <c r="J358" s="15">
        <v>3</v>
      </c>
      <c r="K358" s="15">
        <v>3</v>
      </c>
      <c r="L358" s="39">
        <v>3</v>
      </c>
    </row>
    <row r="359" spans="1:12" ht="27.6" x14ac:dyDescent="0.25">
      <c r="A359" s="122"/>
      <c r="B359" s="84"/>
      <c r="C359" s="125"/>
      <c r="D359" s="84"/>
      <c r="E359" s="86"/>
      <c r="F359" s="86"/>
      <c r="G359" s="86"/>
      <c r="H359" s="10" t="s">
        <v>682</v>
      </c>
      <c r="I359" s="11" t="s">
        <v>22</v>
      </c>
      <c r="J359" s="11">
        <v>12</v>
      </c>
      <c r="K359" s="11">
        <v>12</v>
      </c>
      <c r="L359" s="40">
        <v>12</v>
      </c>
    </row>
    <row r="360" spans="1:12" ht="41.4" x14ac:dyDescent="0.25">
      <c r="A360" s="122"/>
      <c r="B360" s="84"/>
      <c r="C360" s="125"/>
      <c r="D360" s="84"/>
      <c r="E360" s="86"/>
      <c r="F360" s="86"/>
      <c r="G360" s="86"/>
      <c r="H360" s="10" t="s">
        <v>646</v>
      </c>
      <c r="I360" s="11" t="s">
        <v>22</v>
      </c>
      <c r="J360" s="11">
        <v>35</v>
      </c>
      <c r="K360" s="11">
        <v>40</v>
      </c>
      <c r="L360" s="40">
        <v>45</v>
      </c>
    </row>
    <row r="361" spans="1:12" ht="55.2" x14ac:dyDescent="0.25">
      <c r="A361" s="122"/>
      <c r="B361" s="84"/>
      <c r="C361" s="125"/>
      <c r="D361" s="84"/>
      <c r="E361" s="86"/>
      <c r="F361" s="86"/>
      <c r="G361" s="86"/>
      <c r="H361" s="10" t="s">
        <v>683</v>
      </c>
      <c r="I361" s="11" t="s">
        <v>22</v>
      </c>
      <c r="J361" s="11">
        <v>8</v>
      </c>
      <c r="K361" s="11">
        <v>8</v>
      </c>
      <c r="L361" s="40">
        <v>8</v>
      </c>
    </row>
    <row r="362" spans="1:12" ht="41.4" x14ac:dyDescent="0.25">
      <c r="A362" s="122"/>
      <c r="B362" s="84"/>
      <c r="C362" s="125"/>
      <c r="D362" s="84"/>
      <c r="E362" s="86"/>
      <c r="F362" s="86"/>
      <c r="G362" s="86"/>
      <c r="H362" s="10" t="s">
        <v>684</v>
      </c>
      <c r="I362" s="11" t="s">
        <v>22</v>
      </c>
      <c r="J362" s="11">
        <v>4</v>
      </c>
      <c r="K362" s="11">
        <v>4</v>
      </c>
      <c r="L362" s="40">
        <v>4</v>
      </c>
    </row>
    <row r="363" spans="1:12" ht="41.4" x14ac:dyDescent="0.25">
      <c r="A363" s="122"/>
      <c r="B363" s="84"/>
      <c r="C363" s="125"/>
      <c r="D363" s="84"/>
      <c r="E363" s="86"/>
      <c r="F363" s="86"/>
      <c r="G363" s="86"/>
      <c r="H363" s="10" t="s">
        <v>685</v>
      </c>
      <c r="I363" s="11" t="s">
        <v>22</v>
      </c>
      <c r="J363" s="11">
        <v>1</v>
      </c>
      <c r="K363" s="11">
        <v>1</v>
      </c>
      <c r="L363" s="40">
        <v>1</v>
      </c>
    </row>
    <row r="364" spans="1:12" ht="41.4" x14ac:dyDescent="0.25">
      <c r="A364" s="122"/>
      <c r="B364" s="84"/>
      <c r="C364" s="125"/>
      <c r="D364" s="84"/>
      <c r="E364" s="86"/>
      <c r="F364" s="86"/>
      <c r="G364" s="86"/>
      <c r="H364" s="10" t="s">
        <v>686</v>
      </c>
      <c r="I364" s="11" t="s">
        <v>22</v>
      </c>
      <c r="J364" s="11">
        <v>3</v>
      </c>
      <c r="K364" s="11">
        <v>3</v>
      </c>
      <c r="L364" s="40">
        <v>3</v>
      </c>
    </row>
    <row r="365" spans="1:12" ht="27.6" x14ac:dyDescent="0.25">
      <c r="A365" s="122"/>
      <c r="B365" s="84"/>
      <c r="C365" s="125"/>
      <c r="D365" s="84"/>
      <c r="E365" s="86"/>
      <c r="F365" s="86"/>
      <c r="G365" s="86"/>
      <c r="H365" s="10" t="s">
        <v>687</v>
      </c>
      <c r="I365" s="11" t="s">
        <v>22</v>
      </c>
      <c r="J365" s="11">
        <v>1</v>
      </c>
      <c r="K365" s="11">
        <v>1</v>
      </c>
      <c r="L365" s="40">
        <v>1</v>
      </c>
    </row>
    <row r="366" spans="1:12" ht="41.4" x14ac:dyDescent="0.25">
      <c r="A366" s="122"/>
      <c r="B366" s="84"/>
      <c r="C366" s="125"/>
      <c r="D366" s="84"/>
      <c r="E366" s="86"/>
      <c r="F366" s="86"/>
      <c r="G366" s="86"/>
      <c r="H366" s="10" t="s">
        <v>688</v>
      </c>
      <c r="I366" s="11" t="s">
        <v>22</v>
      </c>
      <c r="J366" s="11">
        <v>2</v>
      </c>
      <c r="K366" s="11">
        <v>2</v>
      </c>
      <c r="L366" s="40">
        <v>2</v>
      </c>
    </row>
    <row r="367" spans="1:12" ht="28.2" thickBot="1" x14ac:dyDescent="0.3">
      <c r="A367" s="123"/>
      <c r="B367" s="78"/>
      <c r="C367" s="126"/>
      <c r="D367" s="78"/>
      <c r="E367" s="87"/>
      <c r="F367" s="87"/>
      <c r="G367" s="87"/>
      <c r="H367" s="10" t="s">
        <v>689</v>
      </c>
      <c r="I367" s="11" t="s">
        <v>22</v>
      </c>
      <c r="J367" s="11">
        <v>1</v>
      </c>
      <c r="K367" s="11"/>
      <c r="L367" s="40">
        <v>1</v>
      </c>
    </row>
    <row r="368" spans="1:12" ht="41.4" x14ac:dyDescent="0.25">
      <c r="A368" s="121" t="s">
        <v>690</v>
      </c>
      <c r="B368" s="83" t="s">
        <v>691</v>
      </c>
      <c r="C368" s="124" t="s">
        <v>667</v>
      </c>
      <c r="D368" s="83" t="s">
        <v>40</v>
      </c>
      <c r="E368" s="85">
        <f>SUM(E369:E374)+100.6</f>
        <v>100.6</v>
      </c>
      <c r="F368" s="85">
        <f>SUM(F369:F374)+55.9</f>
        <v>55.9</v>
      </c>
      <c r="G368" s="85">
        <f>SUM(G369:G374)+27</f>
        <v>27</v>
      </c>
      <c r="H368" s="14" t="s">
        <v>692</v>
      </c>
      <c r="I368" s="15" t="s">
        <v>22</v>
      </c>
      <c r="J368" s="15">
        <v>1</v>
      </c>
      <c r="K368" s="15">
        <v>1</v>
      </c>
      <c r="L368" s="39">
        <v>1</v>
      </c>
    </row>
    <row r="369" spans="1:12" x14ac:dyDescent="0.25">
      <c r="A369" s="122"/>
      <c r="B369" s="84"/>
      <c r="C369" s="125"/>
      <c r="D369" s="84"/>
      <c r="E369" s="86"/>
      <c r="F369" s="86"/>
      <c r="G369" s="86"/>
      <c r="H369" s="10" t="s">
        <v>693</v>
      </c>
      <c r="I369" s="11" t="s">
        <v>22</v>
      </c>
      <c r="J369" s="11">
        <v>3</v>
      </c>
      <c r="K369" s="11">
        <v>3</v>
      </c>
      <c r="L369" s="40">
        <v>3</v>
      </c>
    </row>
    <row r="370" spans="1:12" x14ac:dyDescent="0.25">
      <c r="A370" s="122"/>
      <c r="B370" s="84"/>
      <c r="C370" s="125"/>
      <c r="D370" s="84"/>
      <c r="E370" s="86"/>
      <c r="F370" s="86"/>
      <c r="G370" s="86"/>
      <c r="H370" s="10" t="s">
        <v>694</v>
      </c>
      <c r="I370" s="11" t="s">
        <v>22</v>
      </c>
      <c r="J370" s="11">
        <v>1</v>
      </c>
      <c r="K370" s="11">
        <v>1</v>
      </c>
      <c r="L370" s="40">
        <v>1</v>
      </c>
    </row>
    <row r="371" spans="1:12" x14ac:dyDescent="0.25">
      <c r="A371" s="122"/>
      <c r="B371" s="84"/>
      <c r="C371" s="125"/>
      <c r="D371" s="84"/>
      <c r="E371" s="86"/>
      <c r="F371" s="86"/>
      <c r="G371" s="86"/>
      <c r="H371" s="10" t="s">
        <v>695</v>
      </c>
      <c r="I371" s="11" t="s">
        <v>29</v>
      </c>
      <c r="J371" s="11">
        <v>70</v>
      </c>
      <c r="K371" s="11">
        <v>100</v>
      </c>
      <c r="L371" s="40"/>
    </row>
    <row r="372" spans="1:12" ht="55.2" x14ac:dyDescent="0.25">
      <c r="A372" s="122"/>
      <c r="B372" s="84"/>
      <c r="C372" s="125"/>
      <c r="D372" s="84"/>
      <c r="E372" s="86"/>
      <c r="F372" s="86"/>
      <c r="G372" s="86"/>
      <c r="H372" s="10" t="s">
        <v>696</v>
      </c>
      <c r="I372" s="11" t="s">
        <v>22</v>
      </c>
      <c r="J372" s="11">
        <v>1</v>
      </c>
      <c r="K372" s="11">
        <v>1</v>
      </c>
      <c r="L372" s="40">
        <v>1</v>
      </c>
    </row>
    <row r="373" spans="1:12" ht="27.6" x14ac:dyDescent="0.25">
      <c r="A373" s="122"/>
      <c r="B373" s="84"/>
      <c r="C373" s="125"/>
      <c r="D373" s="84"/>
      <c r="E373" s="86"/>
      <c r="F373" s="86"/>
      <c r="G373" s="86"/>
      <c r="H373" s="10" t="s">
        <v>697</v>
      </c>
      <c r="I373" s="11" t="s">
        <v>22</v>
      </c>
      <c r="J373" s="11">
        <v>1</v>
      </c>
      <c r="K373" s="11"/>
      <c r="L373" s="40"/>
    </row>
    <row r="374" spans="1:12" ht="28.2" thickBot="1" x14ac:dyDescent="0.3">
      <c r="A374" s="123"/>
      <c r="B374" s="78"/>
      <c r="C374" s="126"/>
      <c r="D374" s="78"/>
      <c r="E374" s="87"/>
      <c r="F374" s="87"/>
      <c r="G374" s="87"/>
      <c r="H374" s="10" t="s">
        <v>698</v>
      </c>
      <c r="I374" s="11" t="s">
        <v>22</v>
      </c>
      <c r="J374" s="11">
        <v>1</v>
      </c>
      <c r="K374" s="11"/>
      <c r="L374" s="40"/>
    </row>
    <row r="375" spans="1:12" ht="27.6" x14ac:dyDescent="0.25">
      <c r="A375" s="127" t="s">
        <v>699</v>
      </c>
      <c r="B375" s="129" t="s">
        <v>700</v>
      </c>
      <c r="C375" s="130"/>
      <c r="D375" s="131"/>
      <c r="E375" s="88">
        <f>E376+E377+E378+E379+E382</f>
        <v>65</v>
      </c>
      <c r="F375" s="88">
        <f>F376+F377+F378+F379+F382</f>
        <v>82</v>
      </c>
      <c r="G375" s="88">
        <f>G376+G377+G378+G379+G382</f>
        <v>50</v>
      </c>
      <c r="H375" s="7" t="s">
        <v>701</v>
      </c>
      <c r="I375" s="8" t="s">
        <v>22</v>
      </c>
      <c r="J375" s="45">
        <v>373000</v>
      </c>
      <c r="K375" s="45">
        <v>384000</v>
      </c>
      <c r="L375" s="46">
        <v>384000</v>
      </c>
    </row>
    <row r="376" spans="1:12" ht="32.25" customHeight="1" x14ac:dyDescent="0.25">
      <c r="A376" s="138"/>
      <c r="B376" s="139"/>
      <c r="C376" s="140"/>
      <c r="D376" s="141"/>
      <c r="E376" s="89"/>
      <c r="F376" s="89"/>
      <c r="G376" s="89"/>
      <c r="H376" s="22" t="s">
        <v>702</v>
      </c>
      <c r="I376" s="23" t="s">
        <v>22</v>
      </c>
      <c r="J376" s="47">
        <v>25700</v>
      </c>
      <c r="K376" s="47">
        <v>27200</v>
      </c>
      <c r="L376" s="48">
        <v>32000</v>
      </c>
    </row>
    <row r="377" spans="1:12" ht="27.6" x14ac:dyDescent="0.25">
      <c r="A377" s="138"/>
      <c r="B377" s="139"/>
      <c r="C377" s="140"/>
      <c r="D377" s="141"/>
      <c r="E377" s="89"/>
      <c r="F377" s="89"/>
      <c r="G377" s="89"/>
      <c r="H377" s="22" t="s">
        <v>703</v>
      </c>
      <c r="I377" s="23" t="s">
        <v>22</v>
      </c>
      <c r="J377" s="23">
        <v>684</v>
      </c>
      <c r="K377" s="23">
        <v>746</v>
      </c>
      <c r="L377" s="38">
        <v>750</v>
      </c>
    </row>
    <row r="378" spans="1:12" ht="42" thickBot="1" x14ac:dyDescent="0.3">
      <c r="A378" s="128"/>
      <c r="B378" s="132"/>
      <c r="C378" s="133"/>
      <c r="D378" s="134"/>
      <c r="E378" s="90"/>
      <c r="F378" s="90"/>
      <c r="G378" s="90"/>
      <c r="H378" s="22" t="s">
        <v>704</v>
      </c>
      <c r="I378" s="23" t="s">
        <v>29</v>
      </c>
      <c r="J378" s="23"/>
      <c r="K378" s="23">
        <v>48</v>
      </c>
      <c r="L378" s="38"/>
    </row>
    <row r="379" spans="1:12" ht="27.6" x14ac:dyDescent="0.25">
      <c r="A379" s="121" t="s">
        <v>705</v>
      </c>
      <c r="B379" s="83" t="s">
        <v>706</v>
      </c>
      <c r="C379" s="124" t="s">
        <v>707</v>
      </c>
      <c r="D379" s="83" t="s">
        <v>40</v>
      </c>
      <c r="E379" s="85">
        <f>SUM(E380:E381)+7</f>
        <v>7</v>
      </c>
      <c r="F379" s="85">
        <f>SUM(F380:F381)+9</f>
        <v>9</v>
      </c>
      <c r="G379" s="85">
        <f>SUM(G380:G381)+10</f>
        <v>10</v>
      </c>
      <c r="H379" s="14" t="s">
        <v>708</v>
      </c>
      <c r="I379" s="15" t="s">
        <v>22</v>
      </c>
      <c r="J379" s="15">
        <v>1</v>
      </c>
      <c r="K379" s="15">
        <v>1</v>
      </c>
      <c r="L379" s="39">
        <v>1</v>
      </c>
    </row>
    <row r="380" spans="1:12" ht="27.6" x14ac:dyDescent="0.25">
      <c r="A380" s="122"/>
      <c r="B380" s="84"/>
      <c r="C380" s="125"/>
      <c r="D380" s="84"/>
      <c r="E380" s="86"/>
      <c r="F380" s="86"/>
      <c r="G380" s="86"/>
      <c r="H380" s="10" t="s">
        <v>709</v>
      </c>
      <c r="I380" s="11" t="s">
        <v>22</v>
      </c>
      <c r="J380" s="11">
        <v>1</v>
      </c>
      <c r="K380" s="11">
        <v>1</v>
      </c>
      <c r="L380" s="40">
        <v>1</v>
      </c>
    </row>
    <row r="381" spans="1:12" ht="42" thickBot="1" x14ac:dyDescent="0.3">
      <c r="A381" s="123"/>
      <c r="B381" s="78"/>
      <c r="C381" s="126"/>
      <c r="D381" s="78"/>
      <c r="E381" s="87"/>
      <c r="F381" s="87"/>
      <c r="G381" s="87"/>
      <c r="H381" s="10" t="s">
        <v>710</v>
      </c>
      <c r="I381" s="11" t="s">
        <v>22</v>
      </c>
      <c r="J381" s="11">
        <v>20</v>
      </c>
      <c r="K381" s="11">
        <v>25</v>
      </c>
      <c r="L381" s="40">
        <v>30</v>
      </c>
    </row>
    <row r="382" spans="1:12" ht="27.6" x14ac:dyDescent="0.25">
      <c r="A382" s="121" t="s">
        <v>711</v>
      </c>
      <c r="B382" s="83" t="s">
        <v>712</v>
      </c>
      <c r="C382" s="124" t="s">
        <v>713</v>
      </c>
      <c r="D382" s="83" t="s">
        <v>40</v>
      </c>
      <c r="E382" s="85">
        <f>SUM(E383:E387)+58</f>
        <v>58</v>
      </c>
      <c r="F382" s="85">
        <f>SUM(F383:F387)+73</f>
        <v>73</v>
      </c>
      <c r="G382" s="85">
        <f>SUM(G383:G387)+40</f>
        <v>40</v>
      </c>
      <c r="H382" s="14" t="s">
        <v>714</v>
      </c>
      <c r="I382" s="15" t="s">
        <v>22</v>
      </c>
      <c r="J382" s="15">
        <v>1</v>
      </c>
      <c r="K382" s="15"/>
      <c r="L382" s="39"/>
    </row>
    <row r="383" spans="1:12" ht="27.6" x14ac:dyDescent="0.25">
      <c r="A383" s="122"/>
      <c r="B383" s="84"/>
      <c r="C383" s="125"/>
      <c r="D383" s="84"/>
      <c r="E383" s="86"/>
      <c r="F383" s="86"/>
      <c r="G383" s="86"/>
      <c r="H383" s="10" t="s">
        <v>715</v>
      </c>
      <c r="I383" s="11" t="s">
        <v>22</v>
      </c>
      <c r="J383" s="11">
        <v>9</v>
      </c>
      <c r="K383" s="11">
        <v>9</v>
      </c>
      <c r="L383" s="40">
        <v>10</v>
      </c>
    </row>
    <row r="384" spans="1:12" ht="41.4" x14ac:dyDescent="0.25">
      <c r="A384" s="122"/>
      <c r="B384" s="84"/>
      <c r="C384" s="125"/>
      <c r="D384" s="84"/>
      <c r="E384" s="86"/>
      <c r="F384" s="86"/>
      <c r="G384" s="86"/>
      <c r="H384" s="10" t="s">
        <v>716</v>
      </c>
      <c r="I384" s="11" t="s">
        <v>22</v>
      </c>
      <c r="J384" s="11">
        <v>75</v>
      </c>
      <c r="K384" s="11">
        <v>80</v>
      </c>
      <c r="L384" s="40">
        <v>80</v>
      </c>
    </row>
    <row r="385" spans="1:12" x14ac:dyDescent="0.25">
      <c r="A385" s="122"/>
      <c r="B385" s="84"/>
      <c r="C385" s="125"/>
      <c r="D385" s="84"/>
      <c r="E385" s="86"/>
      <c r="F385" s="86"/>
      <c r="G385" s="86"/>
      <c r="H385" s="10" t="s">
        <v>717</v>
      </c>
      <c r="I385" s="11" t="s">
        <v>22</v>
      </c>
      <c r="J385" s="11">
        <v>2</v>
      </c>
      <c r="K385" s="11">
        <v>2</v>
      </c>
      <c r="L385" s="40">
        <v>2</v>
      </c>
    </row>
    <row r="386" spans="1:12" ht="27.6" x14ac:dyDescent="0.25">
      <c r="A386" s="122"/>
      <c r="B386" s="84"/>
      <c r="C386" s="125"/>
      <c r="D386" s="84"/>
      <c r="E386" s="86"/>
      <c r="F386" s="86"/>
      <c r="G386" s="86"/>
      <c r="H386" s="10" t="s">
        <v>718</v>
      </c>
      <c r="I386" s="11" t="s">
        <v>22</v>
      </c>
      <c r="J386" s="11"/>
      <c r="K386" s="11">
        <v>1</v>
      </c>
      <c r="L386" s="40"/>
    </row>
    <row r="387" spans="1:12" ht="14.4" thickBot="1" x14ac:dyDescent="0.3">
      <c r="A387" s="123"/>
      <c r="B387" s="78"/>
      <c r="C387" s="126"/>
      <c r="D387" s="78"/>
      <c r="E387" s="87"/>
      <c r="F387" s="87"/>
      <c r="G387" s="87"/>
      <c r="H387" s="10" t="s">
        <v>719</v>
      </c>
      <c r="I387" s="11" t="s">
        <v>22</v>
      </c>
      <c r="J387" s="11"/>
      <c r="K387" s="11">
        <v>1</v>
      </c>
      <c r="L387" s="40"/>
    </row>
    <row r="388" spans="1:12" ht="30.75" customHeight="1" thickBot="1" x14ac:dyDescent="0.3">
      <c r="A388" s="4" t="s">
        <v>720</v>
      </c>
      <c r="B388" s="5" t="s">
        <v>721</v>
      </c>
      <c r="C388" s="92" t="s">
        <v>722</v>
      </c>
      <c r="D388" s="93"/>
      <c r="E388" s="28">
        <f>E389+E446+E457+0.1</f>
        <v>83148.700000000012</v>
      </c>
      <c r="F388" s="28">
        <f>F389+F446+F457</f>
        <v>82746.200000000012</v>
      </c>
      <c r="G388" s="28">
        <f>G389+G446+G457+0.1</f>
        <v>82970.000000000015</v>
      </c>
      <c r="H388" s="94"/>
      <c r="I388" s="95"/>
      <c r="J388" s="95"/>
      <c r="K388" s="95"/>
      <c r="L388" s="96"/>
    </row>
    <row r="389" spans="1:12" ht="42" thickBot="1" x14ac:dyDescent="0.3">
      <c r="A389" s="6" t="s">
        <v>723</v>
      </c>
      <c r="B389" s="111" t="s">
        <v>724</v>
      </c>
      <c r="C389" s="112"/>
      <c r="D389" s="113"/>
      <c r="E389" s="29">
        <f>E390+E399+E403+E409+E413+E416+E428+E434+E436+E438+E439+E442-0.1</f>
        <v>22423.300000000007</v>
      </c>
      <c r="F389" s="29">
        <f>F390+F399+F403+F409+F413+F416+F428+F434+F436+F438+F439+F442-0.1</f>
        <v>22511.9</v>
      </c>
      <c r="G389" s="29">
        <f>G390+G399+G403+G409+G413+G416+G428+G434+G436+G438+G439+G442-0.1</f>
        <v>23134.900000000005</v>
      </c>
      <c r="H389" s="7" t="s">
        <v>725</v>
      </c>
      <c r="I389" s="8" t="s">
        <v>22</v>
      </c>
      <c r="J389" s="8">
        <v>29</v>
      </c>
      <c r="K389" s="8">
        <v>29</v>
      </c>
      <c r="L389" s="43">
        <v>29</v>
      </c>
    </row>
    <row r="390" spans="1:12" ht="27.6" x14ac:dyDescent="0.25">
      <c r="A390" s="121" t="s">
        <v>726</v>
      </c>
      <c r="B390" s="83" t="s">
        <v>727</v>
      </c>
      <c r="C390" s="124" t="s">
        <v>728</v>
      </c>
      <c r="D390" s="14"/>
      <c r="E390" s="31">
        <f>SUM(E391:E398)</f>
        <v>10507.500000000002</v>
      </c>
      <c r="F390" s="31">
        <f>SUM(F391:F398)</f>
        <v>10263.1</v>
      </c>
      <c r="G390" s="31">
        <f>SUM(G391:G398)</f>
        <v>10470.1</v>
      </c>
      <c r="H390" s="14" t="s">
        <v>729</v>
      </c>
      <c r="I390" s="15" t="s">
        <v>22</v>
      </c>
      <c r="J390" s="15">
        <v>25</v>
      </c>
      <c r="K390" s="15">
        <v>25</v>
      </c>
      <c r="L390" s="39">
        <v>25</v>
      </c>
    </row>
    <row r="391" spans="1:12" ht="27.6" x14ac:dyDescent="0.25">
      <c r="A391" s="122"/>
      <c r="B391" s="84"/>
      <c r="C391" s="125"/>
      <c r="D391" s="10" t="s">
        <v>40</v>
      </c>
      <c r="E391" s="32">
        <v>7329.5</v>
      </c>
      <c r="F391" s="32">
        <v>7512.7</v>
      </c>
      <c r="G391" s="32">
        <v>7693.2</v>
      </c>
      <c r="H391" s="10" t="s">
        <v>730</v>
      </c>
      <c r="I391" s="11" t="s">
        <v>269</v>
      </c>
      <c r="J391" s="42">
        <v>25800</v>
      </c>
      <c r="K391" s="42">
        <v>26600</v>
      </c>
      <c r="L391" s="44">
        <v>27400</v>
      </c>
    </row>
    <row r="392" spans="1:12" x14ac:dyDescent="0.25">
      <c r="A392" s="122"/>
      <c r="B392" s="84"/>
      <c r="C392" s="125"/>
      <c r="D392" s="10" t="s">
        <v>154</v>
      </c>
      <c r="E392" s="32">
        <v>1058.7</v>
      </c>
      <c r="F392" s="32">
        <v>1058.7</v>
      </c>
      <c r="G392" s="32">
        <v>1058.7</v>
      </c>
      <c r="H392" s="10" t="s">
        <v>731</v>
      </c>
      <c r="I392" s="11" t="s">
        <v>22</v>
      </c>
      <c r="J392" s="11">
        <v>14</v>
      </c>
      <c r="K392" s="11">
        <v>14</v>
      </c>
      <c r="L392" s="40">
        <v>14</v>
      </c>
    </row>
    <row r="393" spans="1:12" x14ac:dyDescent="0.25">
      <c r="A393" s="122"/>
      <c r="B393" s="84"/>
      <c r="C393" s="125"/>
      <c r="D393" s="10" t="s">
        <v>282</v>
      </c>
      <c r="E393" s="32">
        <v>44.5</v>
      </c>
      <c r="F393" s="32">
        <v>46</v>
      </c>
      <c r="G393" s="32">
        <v>47.5</v>
      </c>
      <c r="H393" s="10" t="s">
        <v>732</v>
      </c>
      <c r="I393" s="11" t="s">
        <v>269</v>
      </c>
      <c r="J393" s="11">
        <v>515</v>
      </c>
      <c r="K393" s="11">
        <v>520</v>
      </c>
      <c r="L393" s="40">
        <v>520</v>
      </c>
    </row>
    <row r="394" spans="1:12" ht="27.6" x14ac:dyDescent="0.25">
      <c r="A394" s="122"/>
      <c r="B394" s="84"/>
      <c r="C394" s="125"/>
      <c r="D394" s="10" t="s">
        <v>27</v>
      </c>
      <c r="E394" s="32">
        <v>503.7</v>
      </c>
      <c r="F394" s="32">
        <v>503.7</v>
      </c>
      <c r="G394" s="32">
        <v>503.7</v>
      </c>
      <c r="H394" s="10" t="s">
        <v>733</v>
      </c>
      <c r="I394" s="11" t="s">
        <v>22</v>
      </c>
      <c r="J394" s="11">
        <v>7</v>
      </c>
      <c r="K394" s="11">
        <v>7</v>
      </c>
      <c r="L394" s="40">
        <v>8</v>
      </c>
    </row>
    <row r="395" spans="1:12" ht="27.6" x14ac:dyDescent="0.25">
      <c r="A395" s="122"/>
      <c r="B395" s="84"/>
      <c r="C395" s="125"/>
      <c r="D395" s="10" t="s">
        <v>108</v>
      </c>
      <c r="E395" s="32">
        <v>1130</v>
      </c>
      <c r="F395" s="32">
        <v>1142</v>
      </c>
      <c r="G395" s="32">
        <v>1167</v>
      </c>
      <c r="H395" s="10" t="s">
        <v>734</v>
      </c>
      <c r="I395" s="11" t="s">
        <v>269</v>
      </c>
      <c r="J395" s="11">
        <v>120</v>
      </c>
      <c r="K395" s="11">
        <v>130</v>
      </c>
      <c r="L395" s="40">
        <v>140</v>
      </c>
    </row>
    <row r="396" spans="1:12" x14ac:dyDescent="0.25">
      <c r="A396" s="122"/>
      <c r="B396" s="84"/>
      <c r="C396" s="125"/>
      <c r="D396" s="10" t="s">
        <v>284</v>
      </c>
      <c r="E396" s="32">
        <v>41.1</v>
      </c>
      <c r="F396" s="32">
        <v>0</v>
      </c>
      <c r="G396" s="32">
        <v>0</v>
      </c>
      <c r="H396" s="10" t="s">
        <v>735</v>
      </c>
      <c r="I396" s="11" t="s">
        <v>22</v>
      </c>
      <c r="J396" s="11">
        <v>5</v>
      </c>
      <c r="K396" s="11">
        <v>5</v>
      </c>
      <c r="L396" s="40">
        <v>5</v>
      </c>
    </row>
    <row r="397" spans="1:12" x14ac:dyDescent="0.25">
      <c r="A397" s="122"/>
      <c r="B397" s="84"/>
      <c r="C397" s="125"/>
      <c r="D397" s="10" t="s">
        <v>736</v>
      </c>
      <c r="E397" s="32">
        <v>400</v>
      </c>
      <c r="F397" s="32">
        <v>0</v>
      </c>
      <c r="G397" s="32">
        <v>0</v>
      </c>
      <c r="H397" s="10" t="s">
        <v>737</v>
      </c>
      <c r="I397" s="11" t="s">
        <v>269</v>
      </c>
      <c r="J397" s="11">
        <v>510</v>
      </c>
      <c r="K397" s="11">
        <v>510</v>
      </c>
      <c r="L397" s="40">
        <v>510</v>
      </c>
    </row>
    <row r="398" spans="1:12" ht="14.4" thickBot="1" x14ac:dyDescent="0.3">
      <c r="A398" s="123"/>
      <c r="B398" s="78"/>
      <c r="C398" s="126"/>
      <c r="D398" s="10"/>
      <c r="E398" s="32">
        <v>0</v>
      </c>
      <c r="F398" s="32">
        <v>0</v>
      </c>
      <c r="G398" s="32">
        <v>0</v>
      </c>
      <c r="H398" s="10" t="s">
        <v>738</v>
      </c>
      <c r="I398" s="11" t="s">
        <v>22</v>
      </c>
      <c r="J398" s="11">
        <v>12</v>
      </c>
      <c r="K398" s="11">
        <v>12</v>
      </c>
      <c r="L398" s="40">
        <v>12</v>
      </c>
    </row>
    <row r="399" spans="1:12" ht="48" customHeight="1" x14ac:dyDescent="0.25">
      <c r="A399" s="121" t="s">
        <v>739</v>
      </c>
      <c r="B399" s="83" t="s">
        <v>740</v>
      </c>
      <c r="C399" s="124" t="s">
        <v>728</v>
      </c>
      <c r="D399" s="14"/>
      <c r="E399" s="31">
        <f>SUM(E400:E402)</f>
        <v>906.9</v>
      </c>
      <c r="F399" s="31">
        <f>SUM(F400:F402)</f>
        <v>837.9</v>
      </c>
      <c r="G399" s="31">
        <f>SUM(G400:G402)</f>
        <v>768.9</v>
      </c>
      <c r="H399" s="14" t="s">
        <v>741</v>
      </c>
      <c r="I399" s="15" t="s">
        <v>269</v>
      </c>
      <c r="J399" s="15">
        <v>7</v>
      </c>
      <c r="K399" s="15">
        <v>7</v>
      </c>
      <c r="L399" s="39">
        <v>7</v>
      </c>
    </row>
    <row r="400" spans="1:12" x14ac:dyDescent="0.25">
      <c r="A400" s="122"/>
      <c r="B400" s="84"/>
      <c r="C400" s="125"/>
      <c r="D400" s="10" t="s">
        <v>40</v>
      </c>
      <c r="E400" s="32">
        <v>741.4</v>
      </c>
      <c r="F400" s="32">
        <v>741.4</v>
      </c>
      <c r="G400" s="32">
        <v>741.4</v>
      </c>
      <c r="H400" s="10" t="s">
        <v>742</v>
      </c>
      <c r="I400" s="11" t="s">
        <v>22</v>
      </c>
      <c r="J400" s="11">
        <v>2</v>
      </c>
      <c r="K400" s="11">
        <v>2</v>
      </c>
      <c r="L400" s="40">
        <v>2</v>
      </c>
    </row>
    <row r="401" spans="1:12" x14ac:dyDescent="0.25">
      <c r="A401" s="122"/>
      <c r="B401" s="84"/>
      <c r="C401" s="125"/>
      <c r="D401" s="10" t="s">
        <v>736</v>
      </c>
      <c r="E401" s="32">
        <v>165.5</v>
      </c>
      <c r="F401" s="32">
        <v>96.5</v>
      </c>
      <c r="G401" s="32">
        <v>27.5</v>
      </c>
      <c r="H401" s="10" t="s">
        <v>743</v>
      </c>
      <c r="I401" s="11" t="s">
        <v>269</v>
      </c>
      <c r="J401" s="11">
        <v>32</v>
      </c>
      <c r="K401" s="11">
        <v>32</v>
      </c>
      <c r="L401" s="40">
        <v>32</v>
      </c>
    </row>
    <row r="402" spans="1:12" ht="14.4" thickBot="1" x14ac:dyDescent="0.3">
      <c r="A402" s="123"/>
      <c r="B402" s="78"/>
      <c r="C402" s="126"/>
      <c r="D402" s="10"/>
      <c r="E402" s="32">
        <v>0</v>
      </c>
      <c r="F402" s="32">
        <v>0</v>
      </c>
      <c r="G402" s="32">
        <v>0</v>
      </c>
      <c r="H402" s="10" t="s">
        <v>744</v>
      </c>
      <c r="I402" s="11" t="s">
        <v>269</v>
      </c>
      <c r="J402" s="11">
        <v>146</v>
      </c>
      <c r="K402" s="11">
        <v>146</v>
      </c>
      <c r="L402" s="40">
        <v>146</v>
      </c>
    </row>
    <row r="403" spans="1:12" x14ac:dyDescent="0.25">
      <c r="A403" s="121" t="s">
        <v>745</v>
      </c>
      <c r="B403" s="83" t="s">
        <v>746</v>
      </c>
      <c r="C403" s="124" t="s">
        <v>184</v>
      </c>
      <c r="D403" s="14"/>
      <c r="E403" s="31">
        <f>SUM(E404:E408)</f>
        <v>6073.7000000000007</v>
      </c>
      <c r="F403" s="31">
        <f>SUM(F404:F408)</f>
        <v>6082.7000000000007</v>
      </c>
      <c r="G403" s="31">
        <f>SUM(G404:G408)</f>
        <v>6082.7000000000007</v>
      </c>
      <c r="H403" s="14" t="s">
        <v>747</v>
      </c>
      <c r="I403" s="15" t="s">
        <v>22</v>
      </c>
      <c r="J403" s="15">
        <v>5</v>
      </c>
      <c r="K403" s="15">
        <v>5</v>
      </c>
      <c r="L403" s="39">
        <v>5</v>
      </c>
    </row>
    <row r="404" spans="1:12" ht="27.6" x14ac:dyDescent="0.25">
      <c r="A404" s="122"/>
      <c r="B404" s="84"/>
      <c r="C404" s="125"/>
      <c r="D404" s="10" t="s">
        <v>27</v>
      </c>
      <c r="E404" s="32">
        <v>124.1</v>
      </c>
      <c r="F404" s="32">
        <v>124.1</v>
      </c>
      <c r="G404" s="32">
        <v>124.1</v>
      </c>
      <c r="H404" s="10" t="s">
        <v>748</v>
      </c>
      <c r="I404" s="11" t="s">
        <v>269</v>
      </c>
      <c r="J404" s="11">
        <v>80</v>
      </c>
      <c r="K404" s="11">
        <v>85</v>
      </c>
      <c r="L404" s="40">
        <v>90</v>
      </c>
    </row>
    <row r="405" spans="1:12" ht="27.6" x14ac:dyDescent="0.25">
      <c r="A405" s="122"/>
      <c r="B405" s="84"/>
      <c r="C405" s="125"/>
      <c r="D405" s="10" t="s">
        <v>154</v>
      </c>
      <c r="E405" s="32">
        <v>4988.6000000000004</v>
      </c>
      <c r="F405" s="32">
        <v>4988.6000000000004</v>
      </c>
      <c r="G405" s="32">
        <v>4988.6000000000004</v>
      </c>
      <c r="H405" s="10" t="s">
        <v>749</v>
      </c>
      <c r="I405" s="11" t="s">
        <v>269</v>
      </c>
      <c r="J405" s="11">
        <v>150</v>
      </c>
      <c r="K405" s="11">
        <v>155</v>
      </c>
      <c r="L405" s="40">
        <v>155</v>
      </c>
    </row>
    <row r="406" spans="1:12" ht="27.6" x14ac:dyDescent="0.25">
      <c r="A406" s="122"/>
      <c r="B406" s="84"/>
      <c r="C406" s="125"/>
      <c r="D406" s="77" t="s">
        <v>40</v>
      </c>
      <c r="E406" s="108">
        <v>961</v>
      </c>
      <c r="F406" s="108">
        <v>970</v>
      </c>
      <c r="G406" s="108">
        <v>970</v>
      </c>
      <c r="H406" s="10" t="s">
        <v>750</v>
      </c>
      <c r="I406" s="11" t="s">
        <v>269</v>
      </c>
      <c r="J406" s="11">
        <v>360</v>
      </c>
      <c r="K406" s="11">
        <v>370</v>
      </c>
      <c r="L406" s="40">
        <v>410</v>
      </c>
    </row>
    <row r="407" spans="1:12" ht="27.6" x14ac:dyDescent="0.25">
      <c r="A407" s="122"/>
      <c r="B407" s="84"/>
      <c r="C407" s="125"/>
      <c r="D407" s="84"/>
      <c r="E407" s="109"/>
      <c r="F407" s="109"/>
      <c r="G407" s="109"/>
      <c r="H407" s="10" t="s">
        <v>751</v>
      </c>
      <c r="I407" s="11" t="s">
        <v>269</v>
      </c>
      <c r="J407" s="11">
        <v>100</v>
      </c>
      <c r="K407" s="11">
        <v>105</v>
      </c>
      <c r="L407" s="40">
        <v>110</v>
      </c>
    </row>
    <row r="408" spans="1:12" ht="28.2" thickBot="1" x14ac:dyDescent="0.3">
      <c r="A408" s="123"/>
      <c r="B408" s="78"/>
      <c r="C408" s="126"/>
      <c r="D408" s="78"/>
      <c r="E408" s="110"/>
      <c r="F408" s="110"/>
      <c r="G408" s="110"/>
      <c r="H408" s="10" t="s">
        <v>752</v>
      </c>
      <c r="I408" s="11" t="s">
        <v>269</v>
      </c>
      <c r="J408" s="11">
        <v>520</v>
      </c>
      <c r="K408" s="11">
        <v>530</v>
      </c>
      <c r="L408" s="40">
        <v>600</v>
      </c>
    </row>
    <row r="409" spans="1:12" ht="55.2" x14ac:dyDescent="0.25">
      <c r="A409" s="121" t="s">
        <v>753</v>
      </c>
      <c r="B409" s="83" t="s">
        <v>754</v>
      </c>
      <c r="C409" s="124" t="s">
        <v>755</v>
      </c>
      <c r="D409" s="14"/>
      <c r="E409" s="31">
        <f>SUM(E410:E412)</f>
        <v>332.5</v>
      </c>
      <c r="F409" s="31">
        <f>SUM(F410:F412)</f>
        <v>332.5</v>
      </c>
      <c r="G409" s="31">
        <f>SUM(G410:G412)</f>
        <v>337.5</v>
      </c>
      <c r="H409" s="14" t="s">
        <v>756</v>
      </c>
      <c r="I409" s="15" t="s">
        <v>29</v>
      </c>
      <c r="J409" s="15">
        <v>14</v>
      </c>
      <c r="K409" s="15">
        <v>15</v>
      </c>
      <c r="L409" s="39">
        <v>16</v>
      </c>
    </row>
    <row r="410" spans="1:12" ht="55.2" x14ac:dyDescent="0.25">
      <c r="A410" s="122"/>
      <c r="B410" s="84"/>
      <c r="C410" s="125"/>
      <c r="D410" s="10" t="s">
        <v>154</v>
      </c>
      <c r="E410" s="32">
        <v>282.5</v>
      </c>
      <c r="F410" s="32">
        <v>282.5</v>
      </c>
      <c r="G410" s="32">
        <v>282.5</v>
      </c>
      <c r="H410" s="10" t="s">
        <v>757</v>
      </c>
      <c r="I410" s="11" t="s">
        <v>22</v>
      </c>
      <c r="J410" s="55">
        <v>2480</v>
      </c>
      <c r="K410" s="55">
        <v>2500</v>
      </c>
      <c r="L410" s="54">
        <v>2500</v>
      </c>
    </row>
    <row r="411" spans="1:12" ht="41.4" x14ac:dyDescent="0.25">
      <c r="A411" s="122"/>
      <c r="B411" s="84"/>
      <c r="C411" s="125"/>
      <c r="D411" s="77" t="s">
        <v>40</v>
      </c>
      <c r="E411" s="108">
        <v>50</v>
      </c>
      <c r="F411" s="108">
        <v>50</v>
      </c>
      <c r="G411" s="108">
        <v>55</v>
      </c>
      <c r="H411" s="10" t="s">
        <v>758</v>
      </c>
      <c r="I411" s="11" t="s">
        <v>269</v>
      </c>
      <c r="J411" s="11">
        <v>20</v>
      </c>
      <c r="K411" s="11">
        <v>20</v>
      </c>
      <c r="L411" s="40">
        <v>20</v>
      </c>
    </row>
    <row r="412" spans="1:12" ht="28.2" thickBot="1" x14ac:dyDescent="0.3">
      <c r="A412" s="123"/>
      <c r="B412" s="78"/>
      <c r="C412" s="126"/>
      <c r="D412" s="78"/>
      <c r="E412" s="110"/>
      <c r="F412" s="110"/>
      <c r="G412" s="110"/>
      <c r="H412" s="10" t="s">
        <v>759</v>
      </c>
      <c r="I412" s="11" t="s">
        <v>269</v>
      </c>
      <c r="J412" s="11">
        <v>500</v>
      </c>
      <c r="K412" s="11">
        <v>500</v>
      </c>
      <c r="L412" s="40">
        <v>500</v>
      </c>
    </row>
    <row r="413" spans="1:12" ht="30" customHeight="1" x14ac:dyDescent="0.25">
      <c r="A413" s="121" t="s">
        <v>760</v>
      </c>
      <c r="B413" s="83" t="s">
        <v>761</v>
      </c>
      <c r="C413" s="124" t="s">
        <v>762</v>
      </c>
      <c r="D413" s="14"/>
      <c r="E413" s="31">
        <f>SUM(E414:E415)</f>
        <v>476.2</v>
      </c>
      <c r="F413" s="31">
        <f>SUM(F414:F415)</f>
        <v>476.2</v>
      </c>
      <c r="G413" s="31">
        <f>SUM(G414:G415)</f>
        <v>700.2</v>
      </c>
      <c r="H413" s="83" t="s">
        <v>763</v>
      </c>
      <c r="I413" s="98" t="s">
        <v>29</v>
      </c>
      <c r="J413" s="98">
        <v>80</v>
      </c>
      <c r="K413" s="98">
        <v>80</v>
      </c>
      <c r="L413" s="99">
        <v>85</v>
      </c>
    </row>
    <row r="414" spans="1:12" x14ac:dyDescent="0.25">
      <c r="A414" s="122"/>
      <c r="B414" s="84"/>
      <c r="C414" s="125"/>
      <c r="D414" s="10" t="s">
        <v>40</v>
      </c>
      <c r="E414" s="32">
        <v>185</v>
      </c>
      <c r="F414" s="32">
        <v>185</v>
      </c>
      <c r="G414" s="32">
        <v>200</v>
      </c>
      <c r="H414" s="84"/>
      <c r="I414" s="91"/>
      <c r="J414" s="91"/>
      <c r="K414" s="91"/>
      <c r="L414" s="97"/>
    </row>
    <row r="415" spans="1:12" ht="14.4" thickBot="1" x14ac:dyDescent="0.3">
      <c r="A415" s="123"/>
      <c r="B415" s="78"/>
      <c r="C415" s="126"/>
      <c r="D415" s="10" t="s">
        <v>27</v>
      </c>
      <c r="E415" s="32">
        <v>291.2</v>
      </c>
      <c r="F415" s="32">
        <v>291.2</v>
      </c>
      <c r="G415" s="32">
        <v>500.2</v>
      </c>
      <c r="H415" s="78"/>
      <c r="I415" s="80"/>
      <c r="J415" s="80"/>
      <c r="K415" s="80"/>
      <c r="L415" s="82"/>
    </row>
    <row r="416" spans="1:12" x14ac:dyDescent="0.25">
      <c r="A416" s="121" t="s">
        <v>764</v>
      </c>
      <c r="B416" s="83" t="s">
        <v>765</v>
      </c>
      <c r="C416" s="124" t="s">
        <v>184</v>
      </c>
      <c r="D416" s="14"/>
      <c r="E416" s="31">
        <f>SUM(E417:E427)</f>
        <v>2174.5</v>
      </c>
      <c r="F416" s="31">
        <f>SUM(F417:F427)</f>
        <v>2419.1</v>
      </c>
      <c r="G416" s="31">
        <f>SUM(G417:G427)</f>
        <v>2472.9</v>
      </c>
      <c r="H416" s="14" t="s">
        <v>747</v>
      </c>
      <c r="I416" s="15" t="s">
        <v>22</v>
      </c>
      <c r="J416" s="15">
        <v>11</v>
      </c>
      <c r="K416" s="15">
        <v>11</v>
      </c>
      <c r="L416" s="39">
        <v>11</v>
      </c>
    </row>
    <row r="417" spans="1:12" ht="27.6" x14ac:dyDescent="0.25">
      <c r="A417" s="122"/>
      <c r="B417" s="84"/>
      <c r="C417" s="125"/>
      <c r="D417" s="10" t="s">
        <v>40</v>
      </c>
      <c r="E417" s="32">
        <v>1048</v>
      </c>
      <c r="F417" s="32">
        <v>1292.5999999999999</v>
      </c>
      <c r="G417" s="32">
        <v>1346.4</v>
      </c>
      <c r="H417" s="10" t="s">
        <v>766</v>
      </c>
      <c r="I417" s="11" t="s">
        <v>29</v>
      </c>
      <c r="J417" s="11">
        <v>100</v>
      </c>
      <c r="K417" s="11">
        <v>100</v>
      </c>
      <c r="L417" s="40">
        <v>100</v>
      </c>
    </row>
    <row r="418" spans="1:12" ht="27.6" x14ac:dyDescent="0.25">
      <c r="A418" s="122"/>
      <c r="B418" s="84"/>
      <c r="C418" s="125"/>
      <c r="D418" s="10" t="s">
        <v>27</v>
      </c>
      <c r="E418" s="32">
        <v>694.6</v>
      </c>
      <c r="F418" s="32">
        <v>694.6</v>
      </c>
      <c r="G418" s="32">
        <v>694.6</v>
      </c>
      <c r="H418" s="10" t="s">
        <v>767</v>
      </c>
      <c r="I418" s="11" t="s">
        <v>29</v>
      </c>
      <c r="J418" s="11">
        <v>100</v>
      </c>
      <c r="K418" s="11">
        <v>100</v>
      </c>
      <c r="L418" s="40">
        <v>100</v>
      </c>
    </row>
    <row r="419" spans="1:12" ht="27.6" x14ac:dyDescent="0.25">
      <c r="A419" s="122"/>
      <c r="B419" s="84"/>
      <c r="C419" s="125"/>
      <c r="D419" s="77" t="s">
        <v>154</v>
      </c>
      <c r="E419" s="108">
        <v>431.9</v>
      </c>
      <c r="F419" s="108">
        <v>431.9</v>
      </c>
      <c r="G419" s="108">
        <v>431.9</v>
      </c>
      <c r="H419" s="10" t="s">
        <v>768</v>
      </c>
      <c r="I419" s="11" t="s">
        <v>29</v>
      </c>
      <c r="J419" s="11">
        <v>100</v>
      </c>
      <c r="K419" s="11">
        <v>100</v>
      </c>
      <c r="L419" s="40">
        <v>100</v>
      </c>
    </row>
    <row r="420" spans="1:12" ht="27.6" x14ac:dyDescent="0.25">
      <c r="A420" s="122"/>
      <c r="B420" s="84"/>
      <c r="C420" s="125"/>
      <c r="D420" s="84"/>
      <c r="E420" s="109"/>
      <c r="F420" s="109"/>
      <c r="G420" s="109"/>
      <c r="H420" s="10" t="s">
        <v>769</v>
      </c>
      <c r="I420" s="11" t="s">
        <v>29</v>
      </c>
      <c r="J420" s="11">
        <v>80</v>
      </c>
      <c r="K420" s="11">
        <v>85</v>
      </c>
      <c r="L420" s="40">
        <v>85</v>
      </c>
    </row>
    <row r="421" spans="1:12" ht="41.4" x14ac:dyDescent="0.25">
      <c r="A421" s="122"/>
      <c r="B421" s="84"/>
      <c r="C421" s="125"/>
      <c r="D421" s="84"/>
      <c r="E421" s="109"/>
      <c r="F421" s="109"/>
      <c r="G421" s="109"/>
      <c r="H421" s="10" t="s">
        <v>770</v>
      </c>
      <c r="I421" s="11" t="s">
        <v>269</v>
      </c>
      <c r="J421" s="11">
        <v>50</v>
      </c>
      <c r="K421" s="11">
        <v>55</v>
      </c>
      <c r="L421" s="40">
        <v>70</v>
      </c>
    </row>
    <row r="422" spans="1:12" ht="41.4" x14ac:dyDescent="0.25">
      <c r="A422" s="122"/>
      <c r="B422" s="84"/>
      <c r="C422" s="125"/>
      <c r="D422" s="84"/>
      <c r="E422" s="109"/>
      <c r="F422" s="109"/>
      <c r="G422" s="109"/>
      <c r="H422" s="10" t="s">
        <v>771</v>
      </c>
      <c r="I422" s="11" t="s">
        <v>29</v>
      </c>
      <c r="J422" s="11">
        <v>100</v>
      </c>
      <c r="K422" s="11">
        <v>100</v>
      </c>
      <c r="L422" s="40">
        <v>100</v>
      </c>
    </row>
    <row r="423" spans="1:12" ht="27.6" x14ac:dyDescent="0.25">
      <c r="A423" s="122"/>
      <c r="B423" s="84"/>
      <c r="C423" s="125"/>
      <c r="D423" s="84"/>
      <c r="E423" s="109"/>
      <c r="F423" s="109"/>
      <c r="G423" s="109"/>
      <c r="H423" s="10" t="s">
        <v>772</v>
      </c>
      <c r="I423" s="11" t="s">
        <v>29</v>
      </c>
      <c r="J423" s="11">
        <v>100</v>
      </c>
      <c r="K423" s="11">
        <v>100</v>
      </c>
      <c r="L423" s="40">
        <v>100</v>
      </c>
    </row>
    <row r="424" spans="1:12" ht="27.6" x14ac:dyDescent="0.25">
      <c r="A424" s="122"/>
      <c r="B424" s="84"/>
      <c r="C424" s="125"/>
      <c r="D424" s="84"/>
      <c r="E424" s="109"/>
      <c r="F424" s="109"/>
      <c r="G424" s="109"/>
      <c r="H424" s="10" t="s">
        <v>773</v>
      </c>
      <c r="I424" s="11" t="s">
        <v>269</v>
      </c>
      <c r="J424" s="11">
        <v>300</v>
      </c>
      <c r="K424" s="11">
        <v>310</v>
      </c>
      <c r="L424" s="40">
        <v>310</v>
      </c>
    </row>
    <row r="425" spans="1:12" ht="27.6" x14ac:dyDescent="0.25">
      <c r="A425" s="122"/>
      <c r="B425" s="84"/>
      <c r="C425" s="125"/>
      <c r="D425" s="84"/>
      <c r="E425" s="109"/>
      <c r="F425" s="109"/>
      <c r="G425" s="109"/>
      <c r="H425" s="10" t="s">
        <v>774</v>
      </c>
      <c r="I425" s="11" t="s">
        <v>29</v>
      </c>
      <c r="J425" s="11">
        <v>16</v>
      </c>
      <c r="K425" s="11">
        <v>17</v>
      </c>
      <c r="L425" s="40">
        <v>17</v>
      </c>
    </row>
    <row r="426" spans="1:12" ht="27.6" x14ac:dyDescent="0.25">
      <c r="A426" s="122"/>
      <c r="B426" s="84"/>
      <c r="C426" s="125"/>
      <c r="D426" s="84"/>
      <c r="E426" s="109"/>
      <c r="F426" s="109"/>
      <c r="G426" s="109"/>
      <c r="H426" s="10" t="s">
        <v>775</v>
      </c>
      <c r="I426" s="11" t="s">
        <v>269</v>
      </c>
      <c r="J426" s="11">
        <v>16</v>
      </c>
      <c r="K426" s="11">
        <v>20</v>
      </c>
      <c r="L426" s="40">
        <v>24</v>
      </c>
    </row>
    <row r="427" spans="1:12" ht="42" thickBot="1" x14ac:dyDescent="0.3">
      <c r="A427" s="123"/>
      <c r="B427" s="78"/>
      <c r="C427" s="126"/>
      <c r="D427" s="78"/>
      <c r="E427" s="110"/>
      <c r="F427" s="110"/>
      <c r="G427" s="110"/>
      <c r="H427" s="10" t="s">
        <v>776</v>
      </c>
      <c r="I427" s="11" t="s">
        <v>22</v>
      </c>
      <c r="J427" s="11">
        <v>13</v>
      </c>
      <c r="K427" s="11">
        <v>13</v>
      </c>
      <c r="L427" s="40">
        <v>13</v>
      </c>
    </row>
    <row r="428" spans="1:12" x14ac:dyDescent="0.25">
      <c r="A428" s="121" t="s">
        <v>777</v>
      </c>
      <c r="B428" s="83" t="s">
        <v>778</v>
      </c>
      <c r="C428" s="124" t="s">
        <v>184</v>
      </c>
      <c r="D428" s="83" t="s">
        <v>476</v>
      </c>
      <c r="E428" s="85">
        <f>SUM(E429:E433)+1523.2</f>
        <v>1523.2</v>
      </c>
      <c r="F428" s="85">
        <f>SUM(F429:F433)+1676</f>
        <v>1676</v>
      </c>
      <c r="G428" s="85">
        <f>SUM(G429:G433)+1844</f>
        <v>1844</v>
      </c>
      <c r="H428" s="14" t="s">
        <v>779</v>
      </c>
      <c r="I428" s="15" t="s">
        <v>22</v>
      </c>
      <c r="J428" s="15">
        <v>170</v>
      </c>
      <c r="K428" s="15">
        <v>170</v>
      </c>
      <c r="L428" s="39">
        <v>170</v>
      </c>
    </row>
    <row r="429" spans="1:12" x14ac:dyDescent="0.25">
      <c r="A429" s="122"/>
      <c r="B429" s="84"/>
      <c r="C429" s="125"/>
      <c r="D429" s="84"/>
      <c r="E429" s="86"/>
      <c r="F429" s="86"/>
      <c r="G429" s="86"/>
      <c r="H429" s="10" t="s">
        <v>780</v>
      </c>
      <c r="I429" s="11" t="s">
        <v>22</v>
      </c>
      <c r="J429" s="11">
        <v>220</v>
      </c>
      <c r="K429" s="11">
        <v>220</v>
      </c>
      <c r="L429" s="40">
        <v>220</v>
      </c>
    </row>
    <row r="430" spans="1:12" x14ac:dyDescent="0.25">
      <c r="A430" s="122"/>
      <c r="B430" s="84"/>
      <c r="C430" s="125"/>
      <c r="D430" s="84"/>
      <c r="E430" s="86"/>
      <c r="F430" s="86"/>
      <c r="G430" s="86"/>
      <c r="H430" s="10" t="s">
        <v>781</v>
      </c>
      <c r="I430" s="11" t="s">
        <v>22</v>
      </c>
      <c r="J430" s="11">
        <v>5</v>
      </c>
      <c r="K430" s="11">
        <v>5</v>
      </c>
      <c r="L430" s="40">
        <v>5</v>
      </c>
    </row>
    <row r="431" spans="1:12" x14ac:dyDescent="0.25">
      <c r="A431" s="122"/>
      <c r="B431" s="84"/>
      <c r="C431" s="125"/>
      <c r="D431" s="84"/>
      <c r="E431" s="86"/>
      <c r="F431" s="86"/>
      <c r="G431" s="86"/>
      <c r="H431" s="10" t="s">
        <v>782</v>
      </c>
      <c r="I431" s="11" t="s">
        <v>22</v>
      </c>
      <c r="J431" s="11">
        <v>25</v>
      </c>
      <c r="K431" s="11">
        <v>25</v>
      </c>
      <c r="L431" s="40">
        <v>20</v>
      </c>
    </row>
    <row r="432" spans="1:12" ht="27.6" x14ac:dyDescent="0.25">
      <c r="A432" s="122"/>
      <c r="B432" s="84"/>
      <c r="C432" s="125"/>
      <c r="D432" s="84"/>
      <c r="E432" s="86"/>
      <c r="F432" s="86"/>
      <c r="G432" s="86"/>
      <c r="H432" s="10" t="s">
        <v>783</v>
      </c>
      <c r="I432" s="11" t="s">
        <v>269</v>
      </c>
      <c r="J432" s="11">
        <v>20</v>
      </c>
      <c r="K432" s="11">
        <v>22</v>
      </c>
      <c r="L432" s="40">
        <v>24</v>
      </c>
    </row>
    <row r="433" spans="1:12" ht="55.8" thickBot="1" x14ac:dyDescent="0.3">
      <c r="A433" s="123"/>
      <c r="B433" s="78"/>
      <c r="C433" s="126"/>
      <c r="D433" s="78"/>
      <c r="E433" s="87"/>
      <c r="F433" s="87"/>
      <c r="G433" s="87"/>
      <c r="H433" s="10" t="s">
        <v>784</v>
      </c>
      <c r="I433" s="11" t="s">
        <v>269</v>
      </c>
      <c r="J433" s="11">
        <v>1</v>
      </c>
      <c r="K433" s="11">
        <v>2</v>
      </c>
      <c r="L433" s="40">
        <v>3</v>
      </c>
    </row>
    <row r="434" spans="1:12" x14ac:dyDescent="0.25">
      <c r="A434" s="121" t="s">
        <v>785</v>
      </c>
      <c r="B434" s="83" t="s">
        <v>786</v>
      </c>
      <c r="C434" s="124" t="s">
        <v>787</v>
      </c>
      <c r="D434" s="83" t="s">
        <v>40</v>
      </c>
      <c r="E434" s="85">
        <f>SUM(E435:E435)+175</f>
        <v>175</v>
      </c>
      <c r="F434" s="85">
        <f>SUM(F435:F435)+175</f>
        <v>175</v>
      </c>
      <c r="G434" s="85">
        <f>SUM(G435:G435)+180</f>
        <v>180</v>
      </c>
      <c r="H434" s="14" t="s">
        <v>788</v>
      </c>
      <c r="I434" s="15" t="s">
        <v>22</v>
      </c>
      <c r="J434" s="15">
        <v>700</v>
      </c>
      <c r="K434" s="15">
        <v>700</v>
      </c>
      <c r="L434" s="39">
        <v>700</v>
      </c>
    </row>
    <row r="435" spans="1:12" ht="28.2" thickBot="1" x14ac:dyDescent="0.3">
      <c r="A435" s="123"/>
      <c r="B435" s="78"/>
      <c r="C435" s="126"/>
      <c r="D435" s="78"/>
      <c r="E435" s="87"/>
      <c r="F435" s="87"/>
      <c r="G435" s="87"/>
      <c r="H435" s="10" t="s">
        <v>789</v>
      </c>
      <c r="I435" s="11" t="s">
        <v>29</v>
      </c>
      <c r="J435" s="11">
        <v>100</v>
      </c>
      <c r="K435" s="11">
        <v>100</v>
      </c>
      <c r="L435" s="40">
        <v>100</v>
      </c>
    </row>
    <row r="436" spans="1:12" x14ac:dyDescent="0.25">
      <c r="A436" s="121" t="s">
        <v>790</v>
      </c>
      <c r="B436" s="83" t="s">
        <v>791</v>
      </c>
      <c r="C436" s="124" t="s">
        <v>184</v>
      </c>
      <c r="D436" s="83" t="s">
        <v>27</v>
      </c>
      <c r="E436" s="85">
        <f>SUM(E437:E437)+55.4</f>
        <v>55.4</v>
      </c>
      <c r="F436" s="85">
        <f>SUM(F437:F437)+55.4</f>
        <v>55.4</v>
      </c>
      <c r="G436" s="85">
        <f>SUM(G437:G437)+55.4</f>
        <v>55.4</v>
      </c>
      <c r="H436" s="14" t="s">
        <v>792</v>
      </c>
      <c r="I436" s="15" t="s">
        <v>269</v>
      </c>
      <c r="J436" s="41">
        <v>1100</v>
      </c>
      <c r="K436" s="41">
        <v>1200</v>
      </c>
      <c r="L436" s="53">
        <v>1200</v>
      </c>
    </row>
    <row r="437" spans="1:12" ht="42" thickBot="1" x14ac:dyDescent="0.3">
      <c r="A437" s="123"/>
      <c r="B437" s="78"/>
      <c r="C437" s="126"/>
      <c r="D437" s="78"/>
      <c r="E437" s="87"/>
      <c r="F437" s="87"/>
      <c r="G437" s="87"/>
      <c r="H437" s="10" t="s">
        <v>793</v>
      </c>
      <c r="I437" s="11" t="s">
        <v>269</v>
      </c>
      <c r="J437" s="11">
        <v>2</v>
      </c>
      <c r="K437" s="11">
        <v>2</v>
      </c>
      <c r="L437" s="40">
        <v>2</v>
      </c>
    </row>
    <row r="438" spans="1:12" ht="55.8" thickBot="1" x14ac:dyDescent="0.3">
      <c r="A438" s="12" t="s">
        <v>794</v>
      </c>
      <c r="B438" s="13" t="s">
        <v>795</v>
      </c>
      <c r="C438" s="13" t="s">
        <v>184</v>
      </c>
      <c r="D438" s="14" t="s">
        <v>40</v>
      </c>
      <c r="E438" s="33">
        <v>29.4</v>
      </c>
      <c r="F438" s="33">
        <v>0</v>
      </c>
      <c r="G438" s="33">
        <v>0</v>
      </c>
      <c r="H438" s="14" t="s">
        <v>796</v>
      </c>
      <c r="I438" s="15" t="s">
        <v>22</v>
      </c>
      <c r="J438" s="15">
        <v>1</v>
      </c>
      <c r="K438" s="15"/>
      <c r="L438" s="39"/>
    </row>
    <row r="439" spans="1:12" x14ac:dyDescent="0.25">
      <c r="A439" s="121" t="s">
        <v>797</v>
      </c>
      <c r="B439" s="83" t="s">
        <v>798</v>
      </c>
      <c r="C439" s="124" t="s">
        <v>755</v>
      </c>
      <c r="D439" s="14"/>
      <c r="E439" s="31">
        <f>SUM(E440:E441)</f>
        <v>56.300000000000004</v>
      </c>
      <c r="F439" s="31">
        <f>SUM(F440:F441)</f>
        <v>56.300000000000004</v>
      </c>
      <c r="G439" s="31">
        <f>SUM(G440:G441)</f>
        <v>56.300000000000004</v>
      </c>
      <c r="H439" s="83" t="s">
        <v>799</v>
      </c>
      <c r="I439" s="98" t="s">
        <v>22</v>
      </c>
      <c r="J439" s="100">
        <v>6500</v>
      </c>
      <c r="K439" s="100">
        <v>6600</v>
      </c>
      <c r="L439" s="103">
        <v>6600</v>
      </c>
    </row>
    <row r="440" spans="1:12" x14ac:dyDescent="0.25">
      <c r="A440" s="122"/>
      <c r="B440" s="84"/>
      <c r="C440" s="125"/>
      <c r="D440" s="10" t="s">
        <v>27</v>
      </c>
      <c r="E440" s="32">
        <v>5.6</v>
      </c>
      <c r="F440" s="32">
        <v>5.6</v>
      </c>
      <c r="G440" s="32">
        <v>5.6</v>
      </c>
      <c r="H440" s="84"/>
      <c r="I440" s="91"/>
      <c r="J440" s="101"/>
      <c r="K440" s="101"/>
      <c r="L440" s="104"/>
    </row>
    <row r="441" spans="1:12" ht="14.4" thickBot="1" x14ac:dyDescent="0.3">
      <c r="A441" s="123"/>
      <c r="B441" s="78"/>
      <c r="C441" s="126"/>
      <c r="D441" s="10" t="s">
        <v>30</v>
      </c>
      <c r="E441" s="32">
        <v>50.7</v>
      </c>
      <c r="F441" s="32">
        <v>50.7</v>
      </c>
      <c r="G441" s="32">
        <v>50.7</v>
      </c>
      <c r="H441" s="78"/>
      <c r="I441" s="80"/>
      <c r="J441" s="102"/>
      <c r="K441" s="102"/>
      <c r="L441" s="105"/>
    </row>
    <row r="442" spans="1:12" ht="47.25" customHeight="1" x14ac:dyDescent="0.25">
      <c r="A442" s="121" t="s">
        <v>800</v>
      </c>
      <c r="B442" s="83" t="s">
        <v>801</v>
      </c>
      <c r="C442" s="124" t="s">
        <v>802</v>
      </c>
      <c r="D442" s="14"/>
      <c r="E442" s="31">
        <f>SUM(E443:E445)</f>
        <v>112.8</v>
      </c>
      <c r="F442" s="31">
        <f>SUM(F443:F445)</f>
        <v>137.80000000000001</v>
      </c>
      <c r="G442" s="31">
        <f>SUM(G443:G445)</f>
        <v>167</v>
      </c>
      <c r="H442" s="14" t="s">
        <v>803</v>
      </c>
      <c r="I442" s="15" t="s">
        <v>22</v>
      </c>
      <c r="J442" s="15">
        <v>20</v>
      </c>
      <c r="K442" s="15">
        <v>20</v>
      </c>
      <c r="L442" s="39">
        <v>20</v>
      </c>
    </row>
    <row r="443" spans="1:12" ht="41.4" x14ac:dyDescent="0.25">
      <c r="A443" s="122"/>
      <c r="B443" s="84"/>
      <c r="C443" s="125"/>
      <c r="D443" s="10" t="s">
        <v>27</v>
      </c>
      <c r="E443" s="32">
        <v>10.7</v>
      </c>
      <c r="F443" s="32">
        <v>10.7</v>
      </c>
      <c r="G443" s="32">
        <v>10.7</v>
      </c>
      <c r="H443" s="10" t="s">
        <v>804</v>
      </c>
      <c r="I443" s="11" t="s">
        <v>22</v>
      </c>
      <c r="J443" s="11">
        <v>2</v>
      </c>
      <c r="K443" s="11">
        <v>2</v>
      </c>
      <c r="L443" s="40">
        <v>2</v>
      </c>
    </row>
    <row r="444" spans="1:12" ht="27.6" x14ac:dyDescent="0.25">
      <c r="A444" s="122"/>
      <c r="B444" s="84"/>
      <c r="C444" s="125"/>
      <c r="D444" s="10" t="s">
        <v>30</v>
      </c>
      <c r="E444" s="32">
        <v>61.3</v>
      </c>
      <c r="F444" s="32">
        <v>61.3</v>
      </c>
      <c r="G444" s="32">
        <v>61.3</v>
      </c>
      <c r="H444" s="10" t="s">
        <v>805</v>
      </c>
      <c r="I444" s="11" t="s">
        <v>269</v>
      </c>
      <c r="J444" s="11">
        <v>25</v>
      </c>
      <c r="K444" s="11">
        <v>25</v>
      </c>
      <c r="L444" s="40">
        <v>25</v>
      </c>
    </row>
    <row r="445" spans="1:12" ht="28.2" thickBot="1" x14ac:dyDescent="0.3">
      <c r="A445" s="123"/>
      <c r="B445" s="78"/>
      <c r="C445" s="126"/>
      <c r="D445" s="10" t="s">
        <v>40</v>
      </c>
      <c r="E445" s="32">
        <v>40.799999999999997</v>
      </c>
      <c r="F445" s="32">
        <v>65.8</v>
      </c>
      <c r="G445" s="32">
        <v>95</v>
      </c>
      <c r="H445" s="10" t="s">
        <v>806</v>
      </c>
      <c r="I445" s="11" t="s">
        <v>220</v>
      </c>
      <c r="J445" s="11">
        <v>35</v>
      </c>
      <c r="K445" s="11">
        <v>30</v>
      </c>
      <c r="L445" s="40">
        <v>30</v>
      </c>
    </row>
    <row r="446" spans="1:12" x14ac:dyDescent="0.25">
      <c r="A446" s="127" t="s">
        <v>807</v>
      </c>
      <c r="B446" s="129" t="s">
        <v>808</v>
      </c>
      <c r="C446" s="130"/>
      <c r="D446" s="131"/>
      <c r="E446" s="88">
        <f>E447+E448+E449+E452+E454</f>
        <v>1491.7</v>
      </c>
      <c r="F446" s="88">
        <f t="shared" ref="F446:G446" si="0">F447+F448+F449+F452+F454</f>
        <v>2181</v>
      </c>
      <c r="G446" s="88">
        <f t="shared" si="0"/>
        <v>738.2</v>
      </c>
      <c r="H446" s="7" t="s">
        <v>809</v>
      </c>
      <c r="I446" s="8" t="s">
        <v>22</v>
      </c>
      <c r="J446" s="8">
        <v>13</v>
      </c>
      <c r="K446" s="8">
        <v>13</v>
      </c>
      <c r="L446" s="43">
        <v>15</v>
      </c>
    </row>
    <row r="447" spans="1:12" ht="27.6" x14ac:dyDescent="0.25">
      <c r="A447" s="138"/>
      <c r="B447" s="139"/>
      <c r="C447" s="140"/>
      <c r="D447" s="141"/>
      <c r="E447" s="89"/>
      <c r="F447" s="89"/>
      <c r="G447" s="89"/>
      <c r="H447" s="22" t="s">
        <v>810</v>
      </c>
      <c r="I447" s="23" t="s">
        <v>811</v>
      </c>
      <c r="J447" s="23">
        <v>6.5</v>
      </c>
      <c r="K447" s="23">
        <v>6.5</v>
      </c>
      <c r="L447" s="38">
        <v>6.5</v>
      </c>
    </row>
    <row r="448" spans="1:12" ht="28.2" thickBot="1" x14ac:dyDescent="0.3">
      <c r="A448" s="128"/>
      <c r="B448" s="132"/>
      <c r="C448" s="133"/>
      <c r="D448" s="134"/>
      <c r="E448" s="90"/>
      <c r="F448" s="90"/>
      <c r="G448" s="90"/>
      <c r="H448" s="22" t="s">
        <v>812</v>
      </c>
      <c r="I448" s="23" t="s">
        <v>22</v>
      </c>
      <c r="J448" s="23">
        <v>12</v>
      </c>
      <c r="K448" s="23">
        <v>12</v>
      </c>
      <c r="L448" s="38">
        <v>15</v>
      </c>
    </row>
    <row r="449" spans="1:12" x14ac:dyDescent="0.25">
      <c r="A449" s="121" t="s">
        <v>813</v>
      </c>
      <c r="B449" s="83" t="s">
        <v>814</v>
      </c>
      <c r="C449" s="124" t="s">
        <v>815</v>
      </c>
      <c r="D449" s="14"/>
      <c r="E449" s="31">
        <f>SUM(E450:E451)</f>
        <v>1056.5</v>
      </c>
      <c r="F449" s="31">
        <f>SUM(F450:F451)</f>
        <v>1455.8</v>
      </c>
      <c r="G449" s="31">
        <f>SUM(G450:G451)</f>
        <v>303</v>
      </c>
      <c r="H449" s="14" t="s">
        <v>816</v>
      </c>
      <c r="I449" s="15" t="s">
        <v>22</v>
      </c>
      <c r="J449" s="15">
        <v>4</v>
      </c>
      <c r="K449" s="15">
        <v>6</v>
      </c>
      <c r="L449" s="39">
        <v>3</v>
      </c>
    </row>
    <row r="450" spans="1:12" x14ac:dyDescent="0.25">
      <c r="A450" s="122"/>
      <c r="B450" s="84"/>
      <c r="C450" s="125"/>
      <c r="D450" s="69" t="s">
        <v>40</v>
      </c>
      <c r="E450" s="71">
        <v>225</v>
      </c>
      <c r="F450" s="71">
        <v>449.5</v>
      </c>
      <c r="G450" s="71">
        <v>65.900000000000006</v>
      </c>
      <c r="H450" s="69" t="s">
        <v>817</v>
      </c>
      <c r="I450" s="70" t="s">
        <v>22</v>
      </c>
      <c r="J450" s="70">
        <v>1</v>
      </c>
      <c r="K450" s="70"/>
      <c r="L450" s="72"/>
    </row>
    <row r="451" spans="1:12" ht="14.4" thickBot="1" x14ac:dyDescent="0.3">
      <c r="A451" s="123"/>
      <c r="B451" s="78"/>
      <c r="C451" s="154"/>
      <c r="D451" s="16" t="s">
        <v>30</v>
      </c>
      <c r="E451" s="75">
        <v>831.5</v>
      </c>
      <c r="F451" s="75">
        <v>1006.3</v>
      </c>
      <c r="G451" s="75">
        <v>237.1</v>
      </c>
      <c r="H451" s="16" t="s">
        <v>818</v>
      </c>
      <c r="I451" s="17" t="s">
        <v>22</v>
      </c>
      <c r="J451" s="17"/>
      <c r="K451" s="17">
        <v>2</v>
      </c>
      <c r="L451" s="56"/>
    </row>
    <row r="452" spans="1:12" x14ac:dyDescent="0.25">
      <c r="A452" s="155" t="s">
        <v>1290</v>
      </c>
      <c r="B452" s="83" t="s">
        <v>1291</v>
      </c>
      <c r="C452" s="83" t="s">
        <v>235</v>
      </c>
      <c r="D452" s="73" t="s">
        <v>476</v>
      </c>
      <c r="E452" s="74"/>
      <c r="F452" s="74"/>
      <c r="G452" s="74"/>
      <c r="H452" s="14" t="s">
        <v>1292</v>
      </c>
      <c r="I452" s="15" t="s">
        <v>22</v>
      </c>
      <c r="J452" s="67">
        <v>4</v>
      </c>
      <c r="K452" s="67"/>
      <c r="L452" s="68"/>
    </row>
    <row r="453" spans="1:12" ht="28.2" thickBot="1" x14ac:dyDescent="0.3">
      <c r="A453" s="156"/>
      <c r="B453" s="78"/>
      <c r="C453" s="78"/>
      <c r="D453" s="73"/>
      <c r="E453" s="74"/>
      <c r="F453" s="74"/>
      <c r="G453" s="74"/>
      <c r="H453" s="10" t="s">
        <v>1293</v>
      </c>
      <c r="I453" s="11" t="s">
        <v>269</v>
      </c>
      <c r="J453" s="17">
        <v>500</v>
      </c>
      <c r="K453" s="17">
        <v>550</v>
      </c>
      <c r="L453" s="56">
        <v>550</v>
      </c>
    </row>
    <row r="454" spans="1:12" x14ac:dyDescent="0.25">
      <c r="A454" s="121" t="s">
        <v>819</v>
      </c>
      <c r="B454" s="83" t="s">
        <v>820</v>
      </c>
      <c r="C454" s="124" t="s">
        <v>821</v>
      </c>
      <c r="D454" s="14"/>
      <c r="E454" s="31">
        <f>SUM(E455:E456)</f>
        <v>435.2</v>
      </c>
      <c r="F454" s="31">
        <f>SUM(F455:F456)</f>
        <v>725.19999999999993</v>
      </c>
      <c r="G454" s="31">
        <f>SUM(G455:G456)</f>
        <v>435.2</v>
      </c>
      <c r="H454" s="83" t="s">
        <v>822</v>
      </c>
      <c r="I454" s="98" t="s">
        <v>220</v>
      </c>
      <c r="J454" s="98">
        <v>6</v>
      </c>
      <c r="K454" s="98">
        <v>9</v>
      </c>
      <c r="L454" s="99">
        <v>6</v>
      </c>
    </row>
    <row r="455" spans="1:12" x14ac:dyDescent="0.25">
      <c r="A455" s="122"/>
      <c r="B455" s="84"/>
      <c r="C455" s="125"/>
      <c r="D455" s="10" t="s">
        <v>30</v>
      </c>
      <c r="E455" s="32">
        <v>369.9</v>
      </c>
      <c r="F455" s="32">
        <v>629.9</v>
      </c>
      <c r="G455" s="32">
        <v>369.9</v>
      </c>
      <c r="H455" s="84"/>
      <c r="I455" s="91"/>
      <c r="J455" s="91"/>
      <c r="K455" s="91"/>
      <c r="L455" s="97"/>
    </row>
    <row r="456" spans="1:12" ht="14.4" thickBot="1" x14ac:dyDescent="0.3">
      <c r="A456" s="123"/>
      <c r="B456" s="78"/>
      <c r="C456" s="126"/>
      <c r="D456" s="10" t="s">
        <v>40</v>
      </c>
      <c r="E456" s="32">
        <v>65.3</v>
      </c>
      <c r="F456" s="32">
        <v>95.3</v>
      </c>
      <c r="G456" s="32">
        <v>65.3</v>
      </c>
      <c r="H456" s="78"/>
      <c r="I456" s="80"/>
      <c r="J456" s="80"/>
      <c r="K456" s="80"/>
      <c r="L456" s="82"/>
    </row>
    <row r="457" spans="1:12" ht="28.2" thickBot="1" x14ac:dyDescent="0.3">
      <c r="A457" s="6" t="s">
        <v>823</v>
      </c>
      <c r="B457" s="111" t="s">
        <v>824</v>
      </c>
      <c r="C457" s="112"/>
      <c r="D457" s="113"/>
      <c r="E457" s="29">
        <f>E458+E462+E464+E466+E467+E468+E471-0.1</f>
        <v>59233.600000000006</v>
      </c>
      <c r="F457" s="29">
        <f>F458+F462+F464+F466+F467+F468+F471</f>
        <v>58053.3</v>
      </c>
      <c r="G457" s="29">
        <f>G458+G462+G464+G466+G467+G468+G471-0.1</f>
        <v>59096.800000000003</v>
      </c>
      <c r="H457" s="7" t="s">
        <v>825</v>
      </c>
      <c r="I457" s="8" t="s">
        <v>29</v>
      </c>
      <c r="J457" s="8">
        <v>15</v>
      </c>
      <c r="K457" s="8">
        <v>15</v>
      </c>
      <c r="L457" s="43">
        <v>15</v>
      </c>
    </row>
    <row r="458" spans="1:12" x14ac:dyDescent="0.25">
      <c r="A458" s="121" t="s">
        <v>826</v>
      </c>
      <c r="B458" s="83" t="s">
        <v>827</v>
      </c>
      <c r="C458" s="124" t="s">
        <v>187</v>
      </c>
      <c r="D458" s="14"/>
      <c r="E458" s="31">
        <f>SUM(E459:E461)</f>
        <v>6984.9000000000005</v>
      </c>
      <c r="F458" s="31">
        <f>SUM(F459:F461)</f>
        <v>6984.9000000000005</v>
      </c>
      <c r="G458" s="31">
        <f>SUM(G459:G461)</f>
        <v>6991.9000000000005</v>
      </c>
      <c r="H458" s="14" t="s">
        <v>828</v>
      </c>
      <c r="I458" s="15" t="s">
        <v>269</v>
      </c>
      <c r="J458" s="41">
        <v>18500</v>
      </c>
      <c r="K458" s="41">
        <v>18500</v>
      </c>
      <c r="L458" s="53">
        <v>18500</v>
      </c>
    </row>
    <row r="459" spans="1:12" x14ac:dyDescent="0.25">
      <c r="A459" s="122"/>
      <c r="B459" s="84"/>
      <c r="C459" s="125"/>
      <c r="D459" s="10" t="s">
        <v>476</v>
      </c>
      <c r="E459" s="32">
        <v>5933</v>
      </c>
      <c r="F459" s="32">
        <v>5933</v>
      </c>
      <c r="G459" s="32">
        <v>5940</v>
      </c>
      <c r="H459" s="77" t="s">
        <v>829</v>
      </c>
      <c r="I459" s="79" t="s">
        <v>269</v>
      </c>
      <c r="J459" s="106">
        <v>1350</v>
      </c>
      <c r="K459" s="106">
        <v>1350</v>
      </c>
      <c r="L459" s="107">
        <v>1350</v>
      </c>
    </row>
    <row r="460" spans="1:12" x14ac:dyDescent="0.25">
      <c r="A460" s="122"/>
      <c r="B460" s="84"/>
      <c r="C460" s="125"/>
      <c r="D460" s="10" t="s">
        <v>154</v>
      </c>
      <c r="E460" s="32">
        <v>741.8</v>
      </c>
      <c r="F460" s="32">
        <v>741.8</v>
      </c>
      <c r="G460" s="32">
        <v>741.8</v>
      </c>
      <c r="H460" s="84"/>
      <c r="I460" s="91"/>
      <c r="J460" s="101"/>
      <c r="K460" s="101"/>
      <c r="L460" s="104"/>
    </row>
    <row r="461" spans="1:12" ht="14.4" thickBot="1" x14ac:dyDescent="0.3">
      <c r="A461" s="123"/>
      <c r="B461" s="78"/>
      <c r="C461" s="126"/>
      <c r="D461" s="10" t="s">
        <v>27</v>
      </c>
      <c r="E461" s="32">
        <v>310.10000000000002</v>
      </c>
      <c r="F461" s="32">
        <v>310.10000000000002</v>
      </c>
      <c r="G461" s="32">
        <v>310.10000000000002</v>
      </c>
      <c r="H461" s="78"/>
      <c r="I461" s="80"/>
      <c r="J461" s="102"/>
      <c r="K461" s="102"/>
      <c r="L461" s="105"/>
    </row>
    <row r="462" spans="1:12" x14ac:dyDescent="0.25">
      <c r="A462" s="121" t="s">
        <v>830</v>
      </c>
      <c r="B462" s="83" t="s">
        <v>831</v>
      </c>
      <c r="C462" s="124" t="s">
        <v>187</v>
      </c>
      <c r="D462" s="83" t="s">
        <v>284</v>
      </c>
      <c r="E462" s="85">
        <f>SUM(E463:E463)+35756.8</f>
        <v>35756.800000000003</v>
      </c>
      <c r="F462" s="85">
        <f>SUM(F463:F463)+34600</f>
        <v>34600</v>
      </c>
      <c r="G462" s="85">
        <f>SUM(G463:G463)+35721.2</f>
        <v>35721.199999999997</v>
      </c>
      <c r="H462" s="14" t="s">
        <v>832</v>
      </c>
      <c r="I462" s="15" t="s">
        <v>269</v>
      </c>
      <c r="J462" s="41">
        <v>21500</v>
      </c>
      <c r="K462" s="41">
        <v>21500</v>
      </c>
      <c r="L462" s="53">
        <v>21700</v>
      </c>
    </row>
    <row r="463" spans="1:12" ht="14.4" thickBot="1" x14ac:dyDescent="0.3">
      <c r="A463" s="123"/>
      <c r="B463" s="78"/>
      <c r="C463" s="126"/>
      <c r="D463" s="78"/>
      <c r="E463" s="87"/>
      <c r="F463" s="87"/>
      <c r="G463" s="87"/>
      <c r="H463" s="10" t="s">
        <v>833</v>
      </c>
      <c r="I463" s="11" t="s">
        <v>22</v>
      </c>
      <c r="J463" s="11">
        <v>38</v>
      </c>
      <c r="K463" s="11">
        <v>38</v>
      </c>
      <c r="L463" s="40">
        <v>38</v>
      </c>
    </row>
    <row r="464" spans="1:12" x14ac:dyDescent="0.25">
      <c r="A464" s="121" t="s">
        <v>834</v>
      </c>
      <c r="B464" s="83" t="s">
        <v>835</v>
      </c>
      <c r="C464" s="124" t="s">
        <v>187</v>
      </c>
      <c r="D464" s="83" t="s">
        <v>284</v>
      </c>
      <c r="E464" s="85">
        <f>SUM(E465:E465)+13886.6</f>
        <v>13886.6</v>
      </c>
      <c r="F464" s="85">
        <f>SUM(F465:F465)+14063</f>
        <v>14063</v>
      </c>
      <c r="G464" s="85">
        <f>SUM(G465:G465)+13978.4</f>
        <v>13978.4</v>
      </c>
      <c r="H464" s="14" t="s">
        <v>832</v>
      </c>
      <c r="I464" s="15" t="s">
        <v>269</v>
      </c>
      <c r="J464" s="41">
        <v>4400</v>
      </c>
      <c r="K464" s="41">
        <v>4400</v>
      </c>
      <c r="L464" s="53">
        <v>4350</v>
      </c>
    </row>
    <row r="465" spans="1:12" ht="14.4" thickBot="1" x14ac:dyDescent="0.3">
      <c r="A465" s="123"/>
      <c r="B465" s="78"/>
      <c r="C465" s="126"/>
      <c r="D465" s="78"/>
      <c r="E465" s="87"/>
      <c r="F465" s="87"/>
      <c r="G465" s="87"/>
      <c r="H465" s="10" t="s">
        <v>833</v>
      </c>
      <c r="I465" s="11" t="s">
        <v>22</v>
      </c>
      <c r="J465" s="11">
        <v>38</v>
      </c>
      <c r="K465" s="11">
        <v>38</v>
      </c>
      <c r="L465" s="40">
        <v>38</v>
      </c>
    </row>
    <row r="466" spans="1:12" ht="55.8" thickBot="1" x14ac:dyDescent="0.3">
      <c r="A466" s="12" t="s">
        <v>836</v>
      </c>
      <c r="B466" s="13" t="s">
        <v>837</v>
      </c>
      <c r="C466" s="13" t="s">
        <v>187</v>
      </c>
      <c r="D466" s="14" t="s">
        <v>154</v>
      </c>
      <c r="E466" s="33">
        <v>0.8</v>
      </c>
      <c r="F466" s="33">
        <v>0.8</v>
      </c>
      <c r="G466" s="33">
        <v>0.8</v>
      </c>
      <c r="H466" s="14" t="s">
        <v>832</v>
      </c>
      <c r="I466" s="15" t="s">
        <v>269</v>
      </c>
      <c r="J466" s="15">
        <v>1</v>
      </c>
      <c r="K466" s="15">
        <v>1</v>
      </c>
      <c r="L466" s="39">
        <v>1</v>
      </c>
    </row>
    <row r="467" spans="1:12" ht="28.2" thickBot="1" x14ac:dyDescent="0.3">
      <c r="A467" s="12" t="s">
        <v>838</v>
      </c>
      <c r="B467" s="13" t="s">
        <v>839</v>
      </c>
      <c r="C467" s="13" t="s">
        <v>187</v>
      </c>
      <c r="D467" s="14" t="s">
        <v>40</v>
      </c>
      <c r="E467" s="33">
        <v>1</v>
      </c>
      <c r="F467" s="33">
        <v>1</v>
      </c>
      <c r="G467" s="33">
        <v>1</v>
      </c>
      <c r="H467" s="14" t="s">
        <v>832</v>
      </c>
      <c r="I467" s="15" t="s">
        <v>269</v>
      </c>
      <c r="J467" s="15">
        <v>2</v>
      </c>
      <c r="K467" s="15">
        <v>2</v>
      </c>
      <c r="L467" s="39">
        <v>1</v>
      </c>
    </row>
    <row r="468" spans="1:12" x14ac:dyDescent="0.25">
      <c r="A468" s="121" t="s">
        <v>840</v>
      </c>
      <c r="B468" s="83" t="s">
        <v>841</v>
      </c>
      <c r="C468" s="124" t="s">
        <v>187</v>
      </c>
      <c r="D468" s="14"/>
      <c r="E468" s="31">
        <f>SUM(E469:E470)</f>
        <v>2403.6</v>
      </c>
      <c r="F468" s="31">
        <f>SUM(F469:F470)</f>
        <v>2403.6</v>
      </c>
      <c r="G468" s="31">
        <f>SUM(G469:G470)</f>
        <v>2403.6</v>
      </c>
      <c r="H468" s="83" t="s">
        <v>832</v>
      </c>
      <c r="I468" s="98" t="s">
        <v>269</v>
      </c>
      <c r="J468" s="100">
        <v>4790</v>
      </c>
      <c r="K468" s="100">
        <v>4790</v>
      </c>
      <c r="L468" s="103">
        <v>4790</v>
      </c>
    </row>
    <row r="469" spans="1:12" x14ac:dyDescent="0.25">
      <c r="A469" s="122"/>
      <c r="B469" s="84"/>
      <c r="C469" s="125"/>
      <c r="D469" s="10" t="s">
        <v>154</v>
      </c>
      <c r="E469" s="32">
        <v>2253.6</v>
      </c>
      <c r="F469" s="32">
        <v>2253.6</v>
      </c>
      <c r="G469" s="32">
        <v>2253.6</v>
      </c>
      <c r="H469" s="84"/>
      <c r="I469" s="91"/>
      <c r="J469" s="101"/>
      <c r="K469" s="101"/>
      <c r="L469" s="104"/>
    </row>
    <row r="470" spans="1:12" ht="14.4" thickBot="1" x14ac:dyDescent="0.3">
      <c r="A470" s="123"/>
      <c r="B470" s="78"/>
      <c r="C470" s="126"/>
      <c r="D470" s="10" t="s">
        <v>27</v>
      </c>
      <c r="E470" s="32">
        <v>150</v>
      </c>
      <c r="F470" s="32">
        <v>150</v>
      </c>
      <c r="G470" s="32">
        <v>150</v>
      </c>
      <c r="H470" s="78"/>
      <c r="I470" s="80"/>
      <c r="J470" s="102"/>
      <c r="K470" s="102"/>
      <c r="L470" s="105"/>
    </row>
    <row r="471" spans="1:12" ht="28.2" thickBot="1" x14ac:dyDescent="0.3">
      <c r="A471" s="12" t="s">
        <v>842</v>
      </c>
      <c r="B471" s="13" t="s">
        <v>843</v>
      </c>
      <c r="C471" s="13" t="s">
        <v>844</v>
      </c>
      <c r="D471" s="14" t="s">
        <v>40</v>
      </c>
      <c r="E471" s="33">
        <v>200</v>
      </c>
      <c r="F471" s="33">
        <v>0</v>
      </c>
      <c r="G471" s="33">
        <v>0</v>
      </c>
      <c r="H471" s="14" t="s">
        <v>845</v>
      </c>
      <c r="I471" s="15" t="s">
        <v>29</v>
      </c>
      <c r="J471" s="15">
        <v>100</v>
      </c>
      <c r="K471" s="15"/>
      <c r="L471" s="39"/>
    </row>
    <row r="472" spans="1:12" ht="30" customHeight="1" thickBot="1" x14ac:dyDescent="0.3">
      <c r="A472" s="4" t="s">
        <v>846</v>
      </c>
      <c r="B472" s="5" t="s">
        <v>847</v>
      </c>
      <c r="C472" s="92" t="s">
        <v>848</v>
      </c>
      <c r="D472" s="93"/>
      <c r="E472" s="28">
        <f>E473+E509</f>
        <v>21364.400000000001</v>
      </c>
      <c r="F472" s="28">
        <f>F473+F509</f>
        <v>18184.099999999999</v>
      </c>
      <c r="G472" s="28">
        <f>G473+G509</f>
        <v>17980.8</v>
      </c>
      <c r="H472" s="94"/>
      <c r="I472" s="95"/>
      <c r="J472" s="95"/>
      <c r="K472" s="95"/>
      <c r="L472" s="96"/>
    </row>
    <row r="473" spans="1:12" ht="27.6" x14ac:dyDescent="0.25">
      <c r="A473" s="127" t="s">
        <v>849</v>
      </c>
      <c r="B473" s="129" t="s">
        <v>850</v>
      </c>
      <c r="C473" s="130"/>
      <c r="D473" s="131"/>
      <c r="E473" s="88">
        <f>E474+E475+E480+E484+E493+E499+E501+E504+E505+E508</f>
        <v>13426.4</v>
      </c>
      <c r="F473" s="88">
        <f>F474+F475+F480+F484+F493+F499+F501+F504+F505+F508</f>
        <v>13605.3</v>
      </c>
      <c r="G473" s="88">
        <f>G474+G475+G480+G484+G493+G499+G501+G504+G505+G508</f>
        <v>13980.8</v>
      </c>
      <c r="H473" s="7" t="s">
        <v>851</v>
      </c>
      <c r="I473" s="8" t="s">
        <v>29</v>
      </c>
      <c r="J473" s="8">
        <v>9.1999999999999993</v>
      </c>
      <c r="K473" s="8">
        <v>9.4</v>
      </c>
      <c r="L473" s="43">
        <v>9.5</v>
      </c>
    </row>
    <row r="474" spans="1:12" ht="28.2" thickBot="1" x14ac:dyDescent="0.3">
      <c r="A474" s="128"/>
      <c r="B474" s="132"/>
      <c r="C474" s="133"/>
      <c r="D474" s="134"/>
      <c r="E474" s="90"/>
      <c r="F474" s="90"/>
      <c r="G474" s="90"/>
      <c r="H474" s="22" t="s">
        <v>852</v>
      </c>
      <c r="I474" s="23" t="s">
        <v>269</v>
      </c>
      <c r="J474" s="23">
        <v>13</v>
      </c>
      <c r="K474" s="23">
        <v>14</v>
      </c>
      <c r="L474" s="38">
        <v>15</v>
      </c>
    </row>
    <row r="475" spans="1:12" x14ac:dyDescent="0.25">
      <c r="A475" s="121" t="s">
        <v>853</v>
      </c>
      <c r="B475" s="83" t="s">
        <v>854</v>
      </c>
      <c r="C475" s="124" t="s">
        <v>848</v>
      </c>
      <c r="D475" s="14"/>
      <c r="E475" s="31">
        <f>SUM(E476:E479)</f>
        <v>7548.7999999999993</v>
      </c>
      <c r="F475" s="31">
        <f>SUM(F476:F479)</f>
        <v>7704.5</v>
      </c>
      <c r="G475" s="31">
        <f>SUM(G476:G479)</f>
        <v>7871</v>
      </c>
      <c r="H475" s="14" t="s">
        <v>855</v>
      </c>
      <c r="I475" s="15" t="s">
        <v>220</v>
      </c>
      <c r="J475" s="41">
        <v>3000</v>
      </c>
      <c r="K475" s="41">
        <v>3025</v>
      </c>
      <c r="L475" s="53">
        <v>3050</v>
      </c>
    </row>
    <row r="476" spans="1:12" x14ac:dyDescent="0.25">
      <c r="A476" s="122"/>
      <c r="B476" s="84"/>
      <c r="C476" s="125"/>
      <c r="D476" s="10" t="s">
        <v>108</v>
      </c>
      <c r="E476" s="32">
        <v>646</v>
      </c>
      <c r="F476" s="32">
        <v>648</v>
      </c>
      <c r="G476" s="32">
        <v>650</v>
      </c>
      <c r="H476" s="10" t="s">
        <v>856</v>
      </c>
      <c r="I476" s="11" t="s">
        <v>269</v>
      </c>
      <c r="J476" s="11">
        <v>53</v>
      </c>
      <c r="K476" s="11">
        <v>55</v>
      </c>
      <c r="L476" s="40">
        <v>57</v>
      </c>
    </row>
    <row r="477" spans="1:12" ht="27.6" x14ac:dyDescent="0.25">
      <c r="A477" s="122"/>
      <c r="B477" s="84"/>
      <c r="C477" s="125"/>
      <c r="D477" s="10" t="s">
        <v>282</v>
      </c>
      <c r="E477" s="32">
        <v>132</v>
      </c>
      <c r="F477" s="32">
        <v>124.5</v>
      </c>
      <c r="G477" s="32">
        <v>122.5</v>
      </c>
      <c r="H477" s="10" t="s">
        <v>857</v>
      </c>
      <c r="I477" s="11" t="s">
        <v>269</v>
      </c>
      <c r="J477" s="11">
        <v>169</v>
      </c>
      <c r="K477" s="11">
        <v>170</v>
      </c>
      <c r="L477" s="40">
        <v>174</v>
      </c>
    </row>
    <row r="478" spans="1:12" ht="41.4" x14ac:dyDescent="0.25">
      <c r="A478" s="122"/>
      <c r="B478" s="84"/>
      <c r="C478" s="125"/>
      <c r="D478" s="10" t="s">
        <v>40</v>
      </c>
      <c r="E478" s="32">
        <v>6724.4</v>
      </c>
      <c r="F478" s="32">
        <v>6884</v>
      </c>
      <c r="G478" s="32">
        <v>7049.5</v>
      </c>
      <c r="H478" s="10" t="s">
        <v>858</v>
      </c>
      <c r="I478" s="11" t="s">
        <v>859</v>
      </c>
      <c r="J478" s="11">
        <v>1.25</v>
      </c>
      <c r="K478" s="11">
        <v>1.25</v>
      </c>
      <c r="L478" s="40">
        <v>1.25</v>
      </c>
    </row>
    <row r="479" spans="1:12" ht="42" thickBot="1" x14ac:dyDescent="0.3">
      <c r="A479" s="123"/>
      <c r="B479" s="78"/>
      <c r="C479" s="126"/>
      <c r="D479" s="10" t="s">
        <v>284</v>
      </c>
      <c r="E479" s="32">
        <v>46.4</v>
      </c>
      <c r="F479" s="32">
        <v>48</v>
      </c>
      <c r="G479" s="32">
        <v>49</v>
      </c>
      <c r="H479" s="10" t="s">
        <v>860</v>
      </c>
      <c r="I479" s="11" t="s">
        <v>859</v>
      </c>
      <c r="J479" s="11">
        <v>3</v>
      </c>
      <c r="K479" s="11">
        <v>3</v>
      </c>
      <c r="L479" s="40">
        <v>3</v>
      </c>
    </row>
    <row r="480" spans="1:12" ht="27.6" x14ac:dyDescent="0.25">
      <c r="A480" s="121" t="s">
        <v>861</v>
      </c>
      <c r="B480" s="83" t="s">
        <v>862</v>
      </c>
      <c r="C480" s="124" t="s">
        <v>863</v>
      </c>
      <c r="D480" s="14"/>
      <c r="E480" s="31">
        <f>SUM(E481:E483)</f>
        <v>3543.8</v>
      </c>
      <c r="F480" s="31">
        <f>SUM(F481:F483)</f>
        <v>3543.8</v>
      </c>
      <c r="G480" s="31">
        <f>SUM(G481:G483)</f>
        <v>3543.8</v>
      </c>
      <c r="H480" s="14" t="s">
        <v>864</v>
      </c>
      <c r="I480" s="15" t="s">
        <v>22</v>
      </c>
      <c r="J480" s="15">
        <v>3</v>
      </c>
      <c r="K480" s="15">
        <v>3</v>
      </c>
      <c r="L480" s="39">
        <v>3</v>
      </c>
    </row>
    <row r="481" spans="1:12" x14ac:dyDescent="0.25">
      <c r="A481" s="122"/>
      <c r="B481" s="84"/>
      <c r="C481" s="125"/>
      <c r="D481" s="77" t="s">
        <v>476</v>
      </c>
      <c r="E481" s="108">
        <v>3543.8</v>
      </c>
      <c r="F481" s="108">
        <v>3543.8</v>
      </c>
      <c r="G481" s="108">
        <v>3543.8</v>
      </c>
      <c r="H481" s="10" t="s">
        <v>865</v>
      </c>
      <c r="I481" s="11" t="s">
        <v>269</v>
      </c>
      <c r="J481" s="11">
        <v>820</v>
      </c>
      <c r="K481" s="11">
        <v>850</v>
      </c>
      <c r="L481" s="40">
        <v>850</v>
      </c>
    </row>
    <row r="482" spans="1:12" ht="27.6" x14ac:dyDescent="0.25">
      <c r="A482" s="122"/>
      <c r="B482" s="84"/>
      <c r="C482" s="125"/>
      <c r="D482" s="84"/>
      <c r="E482" s="109"/>
      <c r="F482" s="109"/>
      <c r="G482" s="109"/>
      <c r="H482" s="10" t="s">
        <v>866</v>
      </c>
      <c r="I482" s="11" t="s">
        <v>22</v>
      </c>
      <c r="J482" s="11">
        <v>2</v>
      </c>
      <c r="K482" s="11">
        <v>2</v>
      </c>
      <c r="L482" s="40">
        <v>2</v>
      </c>
    </row>
    <row r="483" spans="1:12" ht="28.2" thickBot="1" x14ac:dyDescent="0.3">
      <c r="A483" s="123"/>
      <c r="B483" s="78"/>
      <c r="C483" s="126"/>
      <c r="D483" s="78"/>
      <c r="E483" s="110"/>
      <c r="F483" s="110"/>
      <c r="G483" s="110"/>
      <c r="H483" s="10" t="s">
        <v>867</v>
      </c>
      <c r="I483" s="11" t="s">
        <v>269</v>
      </c>
      <c r="J483" s="11">
        <v>620</v>
      </c>
      <c r="K483" s="11">
        <v>630</v>
      </c>
      <c r="L483" s="40">
        <v>630</v>
      </c>
    </row>
    <row r="484" spans="1:12" ht="31.5" customHeight="1" x14ac:dyDescent="0.25">
      <c r="A484" s="121" t="s">
        <v>868</v>
      </c>
      <c r="B484" s="83" t="s">
        <v>869</v>
      </c>
      <c r="C484" s="124" t="s">
        <v>848</v>
      </c>
      <c r="D484" s="83" t="s">
        <v>40</v>
      </c>
      <c r="E484" s="85">
        <f>SUM(E485:E492)+191</f>
        <v>191</v>
      </c>
      <c r="F484" s="85">
        <f>SUM(F485:F492)+210</f>
        <v>210</v>
      </c>
      <c r="G484" s="85">
        <f>SUM(G485:G492)+231</f>
        <v>231</v>
      </c>
      <c r="H484" s="14" t="s">
        <v>870</v>
      </c>
      <c r="I484" s="15" t="s">
        <v>22</v>
      </c>
      <c r="J484" s="15">
        <v>268</v>
      </c>
      <c r="K484" s="15">
        <v>270</v>
      </c>
      <c r="L484" s="39">
        <v>274</v>
      </c>
    </row>
    <row r="485" spans="1:12" ht="41.4" x14ac:dyDescent="0.25">
      <c r="A485" s="122"/>
      <c r="B485" s="84"/>
      <c r="C485" s="125"/>
      <c r="D485" s="84"/>
      <c r="E485" s="86"/>
      <c r="F485" s="86"/>
      <c r="G485" s="86"/>
      <c r="H485" s="10" t="s">
        <v>871</v>
      </c>
      <c r="I485" s="11" t="s">
        <v>22</v>
      </c>
      <c r="J485" s="11">
        <v>570</v>
      </c>
      <c r="K485" s="11">
        <v>570</v>
      </c>
      <c r="L485" s="40">
        <v>275</v>
      </c>
    </row>
    <row r="486" spans="1:12" ht="41.4" x14ac:dyDescent="0.25">
      <c r="A486" s="122"/>
      <c r="B486" s="84"/>
      <c r="C486" s="125"/>
      <c r="D486" s="84"/>
      <c r="E486" s="86"/>
      <c r="F486" s="86"/>
      <c r="G486" s="86"/>
      <c r="H486" s="10" t="s">
        <v>872</v>
      </c>
      <c r="I486" s="11" t="s">
        <v>22</v>
      </c>
      <c r="J486" s="11">
        <v>39</v>
      </c>
      <c r="K486" s="11">
        <v>39</v>
      </c>
      <c r="L486" s="40">
        <v>40</v>
      </c>
    </row>
    <row r="487" spans="1:12" ht="41.4" x14ac:dyDescent="0.25">
      <c r="A487" s="122"/>
      <c r="B487" s="84"/>
      <c r="C487" s="125"/>
      <c r="D487" s="84"/>
      <c r="E487" s="86"/>
      <c r="F487" s="86"/>
      <c r="G487" s="86"/>
      <c r="H487" s="10" t="s">
        <v>873</v>
      </c>
      <c r="I487" s="11" t="s">
        <v>22</v>
      </c>
      <c r="J487" s="11">
        <v>27</v>
      </c>
      <c r="K487" s="11">
        <v>28</v>
      </c>
      <c r="L487" s="40">
        <v>30</v>
      </c>
    </row>
    <row r="488" spans="1:12" ht="27.6" x14ac:dyDescent="0.25">
      <c r="A488" s="122"/>
      <c r="B488" s="84"/>
      <c r="C488" s="125"/>
      <c r="D488" s="84"/>
      <c r="E488" s="86"/>
      <c r="F488" s="86"/>
      <c r="G488" s="86"/>
      <c r="H488" s="10" t="s">
        <v>874</v>
      </c>
      <c r="I488" s="11" t="s">
        <v>269</v>
      </c>
      <c r="J488" s="11">
        <v>62</v>
      </c>
      <c r="K488" s="11">
        <v>62</v>
      </c>
      <c r="L488" s="40">
        <v>64</v>
      </c>
    </row>
    <row r="489" spans="1:12" ht="27.6" x14ac:dyDescent="0.25">
      <c r="A489" s="122"/>
      <c r="B489" s="84"/>
      <c r="C489" s="125"/>
      <c r="D489" s="84"/>
      <c r="E489" s="86"/>
      <c r="F489" s="86"/>
      <c r="G489" s="86"/>
      <c r="H489" s="10" t="s">
        <v>875</v>
      </c>
      <c r="I489" s="11" t="s">
        <v>269</v>
      </c>
      <c r="J489" s="11">
        <v>11</v>
      </c>
      <c r="K489" s="11">
        <v>12</v>
      </c>
      <c r="L489" s="40">
        <v>12</v>
      </c>
    </row>
    <row r="490" spans="1:12" x14ac:dyDescent="0.25">
      <c r="A490" s="122"/>
      <c r="B490" s="84"/>
      <c r="C490" s="125"/>
      <c r="D490" s="84"/>
      <c r="E490" s="86"/>
      <c r="F490" s="86"/>
      <c r="G490" s="86"/>
      <c r="H490" s="10" t="s">
        <v>876</v>
      </c>
      <c r="I490" s="11" t="s">
        <v>269</v>
      </c>
      <c r="J490" s="11">
        <v>133</v>
      </c>
      <c r="K490" s="11">
        <v>134</v>
      </c>
      <c r="L490" s="40">
        <v>136</v>
      </c>
    </row>
    <row r="491" spans="1:12" ht="27.6" x14ac:dyDescent="0.25">
      <c r="A491" s="122"/>
      <c r="B491" s="84"/>
      <c r="C491" s="125"/>
      <c r="D491" s="84"/>
      <c r="E491" s="86"/>
      <c r="F491" s="86"/>
      <c r="G491" s="86"/>
      <c r="H491" s="10" t="s">
        <v>877</v>
      </c>
      <c r="I491" s="11" t="s">
        <v>269</v>
      </c>
      <c r="J491" s="11">
        <v>201</v>
      </c>
      <c r="K491" s="11">
        <v>202</v>
      </c>
      <c r="L491" s="40">
        <v>205</v>
      </c>
    </row>
    <row r="492" spans="1:12" ht="14.4" thickBot="1" x14ac:dyDescent="0.3">
      <c r="A492" s="123"/>
      <c r="B492" s="78"/>
      <c r="C492" s="126"/>
      <c r="D492" s="78"/>
      <c r="E492" s="87"/>
      <c r="F492" s="87"/>
      <c r="G492" s="87"/>
      <c r="H492" s="10" t="s">
        <v>878</v>
      </c>
      <c r="I492" s="11" t="s">
        <v>22</v>
      </c>
      <c r="J492" s="11">
        <v>180</v>
      </c>
      <c r="K492" s="11">
        <v>181</v>
      </c>
      <c r="L492" s="40">
        <v>182</v>
      </c>
    </row>
    <row r="493" spans="1:12" x14ac:dyDescent="0.25">
      <c r="A493" s="121" t="s">
        <v>879</v>
      </c>
      <c r="B493" s="83" t="s">
        <v>880</v>
      </c>
      <c r="C493" s="124" t="s">
        <v>848</v>
      </c>
      <c r="D493" s="83" t="s">
        <v>40</v>
      </c>
      <c r="E493" s="85">
        <f>SUM(E494:E498)+661</f>
        <v>661</v>
      </c>
      <c r="F493" s="85">
        <f>SUM(F494:F498)+681</f>
        <v>681</v>
      </c>
      <c r="G493" s="85">
        <f>SUM(G494:G498)+741</f>
        <v>741</v>
      </c>
      <c r="H493" s="14" t="s">
        <v>881</v>
      </c>
      <c r="I493" s="15" t="s">
        <v>22</v>
      </c>
      <c r="J493" s="15">
        <v>14</v>
      </c>
      <c r="K493" s="15">
        <v>14</v>
      </c>
      <c r="L493" s="39">
        <v>14</v>
      </c>
    </row>
    <row r="494" spans="1:12" ht="27.6" x14ac:dyDescent="0.25">
      <c r="A494" s="122"/>
      <c r="B494" s="84"/>
      <c r="C494" s="125"/>
      <c r="D494" s="84"/>
      <c r="E494" s="86"/>
      <c r="F494" s="86"/>
      <c r="G494" s="86"/>
      <c r="H494" s="10" t="s">
        <v>882</v>
      </c>
      <c r="I494" s="11" t="s">
        <v>22</v>
      </c>
      <c r="J494" s="11">
        <v>10</v>
      </c>
      <c r="K494" s="11">
        <v>10</v>
      </c>
      <c r="L494" s="40">
        <v>10</v>
      </c>
    </row>
    <row r="495" spans="1:12" ht="27.6" x14ac:dyDescent="0.25">
      <c r="A495" s="122"/>
      <c r="B495" s="84"/>
      <c r="C495" s="125"/>
      <c r="D495" s="84"/>
      <c r="E495" s="86"/>
      <c r="F495" s="86"/>
      <c r="G495" s="86"/>
      <c r="H495" s="10" t="s">
        <v>883</v>
      </c>
      <c r="I495" s="11" t="s">
        <v>22</v>
      </c>
      <c r="J495" s="11">
        <v>10</v>
      </c>
      <c r="K495" s="11">
        <v>10</v>
      </c>
      <c r="L495" s="40">
        <v>10</v>
      </c>
    </row>
    <row r="496" spans="1:12" x14ac:dyDescent="0.25">
      <c r="A496" s="122"/>
      <c r="B496" s="84"/>
      <c r="C496" s="125"/>
      <c r="D496" s="84"/>
      <c r="E496" s="86"/>
      <c r="F496" s="86"/>
      <c r="G496" s="86"/>
      <c r="H496" s="10" t="s">
        <v>884</v>
      </c>
      <c r="I496" s="11" t="s">
        <v>22</v>
      </c>
      <c r="J496" s="11">
        <v>7</v>
      </c>
      <c r="K496" s="11">
        <v>7</v>
      </c>
      <c r="L496" s="40">
        <v>7</v>
      </c>
    </row>
    <row r="497" spans="1:12" x14ac:dyDescent="0.25">
      <c r="A497" s="122"/>
      <c r="B497" s="84"/>
      <c r="C497" s="125"/>
      <c r="D497" s="84"/>
      <c r="E497" s="86"/>
      <c r="F497" s="86"/>
      <c r="G497" s="86"/>
      <c r="H497" s="10" t="s">
        <v>876</v>
      </c>
      <c r="I497" s="11" t="s">
        <v>269</v>
      </c>
      <c r="J497" s="11">
        <v>93</v>
      </c>
      <c r="K497" s="11">
        <v>95</v>
      </c>
      <c r="L497" s="40">
        <v>96</v>
      </c>
    </row>
    <row r="498" spans="1:12" ht="14.4" thickBot="1" x14ac:dyDescent="0.3">
      <c r="A498" s="123"/>
      <c r="B498" s="78"/>
      <c r="C498" s="126"/>
      <c r="D498" s="78"/>
      <c r="E498" s="87"/>
      <c r="F498" s="87"/>
      <c r="G498" s="87"/>
      <c r="H498" s="10" t="s">
        <v>885</v>
      </c>
      <c r="I498" s="11" t="s">
        <v>269</v>
      </c>
      <c r="J498" s="11">
        <v>56</v>
      </c>
      <c r="K498" s="11">
        <v>57</v>
      </c>
      <c r="L498" s="40">
        <v>58</v>
      </c>
    </row>
    <row r="499" spans="1:12" ht="41.4" x14ac:dyDescent="0.25">
      <c r="A499" s="121" t="s">
        <v>886</v>
      </c>
      <c r="B499" s="83" t="s">
        <v>887</v>
      </c>
      <c r="C499" s="124" t="s">
        <v>888</v>
      </c>
      <c r="D499" s="83" t="s">
        <v>40</v>
      </c>
      <c r="E499" s="85">
        <f>SUM(E500:E500)+1133.2</f>
        <v>1133.2</v>
      </c>
      <c r="F499" s="85">
        <f>SUM(F500:F500)+1108</f>
        <v>1108</v>
      </c>
      <c r="G499" s="85">
        <f>SUM(G500:G500)+1219</f>
        <v>1219</v>
      </c>
      <c r="H499" s="14" t="s">
        <v>889</v>
      </c>
      <c r="I499" s="15" t="s">
        <v>22</v>
      </c>
      <c r="J499" s="15">
        <v>8</v>
      </c>
      <c r="K499" s="15">
        <v>8</v>
      </c>
      <c r="L499" s="39">
        <v>8</v>
      </c>
    </row>
    <row r="500" spans="1:12" ht="14.4" thickBot="1" x14ac:dyDescent="0.3">
      <c r="A500" s="123"/>
      <c r="B500" s="78"/>
      <c r="C500" s="126"/>
      <c r="D500" s="78"/>
      <c r="E500" s="87"/>
      <c r="F500" s="87"/>
      <c r="G500" s="87"/>
      <c r="H500" s="10" t="s">
        <v>890</v>
      </c>
      <c r="I500" s="11" t="s">
        <v>269</v>
      </c>
      <c r="J500" s="42">
        <v>3500</v>
      </c>
      <c r="K500" s="42">
        <v>5000</v>
      </c>
      <c r="L500" s="44">
        <v>5500</v>
      </c>
    </row>
    <row r="501" spans="1:12" x14ac:dyDescent="0.25">
      <c r="A501" s="121" t="s">
        <v>891</v>
      </c>
      <c r="B501" s="83" t="s">
        <v>892</v>
      </c>
      <c r="C501" s="124" t="s">
        <v>848</v>
      </c>
      <c r="D501" s="83" t="s">
        <v>40</v>
      </c>
      <c r="E501" s="85">
        <f>SUM(E502:E503)+53</f>
        <v>53</v>
      </c>
      <c r="F501" s="85">
        <f>SUM(F502:F503)+55</f>
        <v>55</v>
      </c>
      <c r="G501" s="85">
        <f>SUM(G502:G503)+60</f>
        <v>60</v>
      </c>
      <c r="H501" s="14" t="s">
        <v>893</v>
      </c>
      <c r="I501" s="15" t="s">
        <v>269</v>
      </c>
      <c r="J501" s="15">
        <v>26</v>
      </c>
      <c r="K501" s="15">
        <v>26</v>
      </c>
      <c r="L501" s="39">
        <v>30</v>
      </c>
    </row>
    <row r="502" spans="1:12" x14ac:dyDescent="0.25">
      <c r="A502" s="122"/>
      <c r="B502" s="84"/>
      <c r="C502" s="125"/>
      <c r="D502" s="84"/>
      <c r="E502" s="86"/>
      <c r="F502" s="86"/>
      <c r="G502" s="86"/>
      <c r="H502" s="10" t="s">
        <v>894</v>
      </c>
      <c r="I502" s="11" t="s">
        <v>269</v>
      </c>
      <c r="J502" s="11">
        <v>10</v>
      </c>
      <c r="K502" s="11">
        <v>10</v>
      </c>
      <c r="L502" s="40">
        <v>10</v>
      </c>
    </row>
    <row r="503" spans="1:12" ht="14.4" thickBot="1" x14ac:dyDescent="0.3">
      <c r="A503" s="123"/>
      <c r="B503" s="78"/>
      <c r="C503" s="126"/>
      <c r="D503" s="78"/>
      <c r="E503" s="87"/>
      <c r="F503" s="87"/>
      <c r="G503" s="87"/>
      <c r="H503" s="10" t="s">
        <v>895</v>
      </c>
      <c r="I503" s="11" t="s">
        <v>269</v>
      </c>
      <c r="J503" s="11">
        <v>14</v>
      </c>
      <c r="K503" s="11">
        <v>14</v>
      </c>
      <c r="L503" s="40">
        <v>18</v>
      </c>
    </row>
    <row r="504" spans="1:12" ht="42" thickBot="1" x14ac:dyDescent="0.3">
      <c r="A504" s="12" t="s">
        <v>896</v>
      </c>
      <c r="B504" s="13" t="s">
        <v>897</v>
      </c>
      <c r="C504" s="13" t="s">
        <v>848</v>
      </c>
      <c r="D504" s="14" t="s">
        <v>40</v>
      </c>
      <c r="E504" s="33">
        <v>50</v>
      </c>
      <c r="F504" s="33">
        <v>50</v>
      </c>
      <c r="G504" s="33">
        <v>50</v>
      </c>
      <c r="H504" s="14" t="s">
        <v>898</v>
      </c>
      <c r="I504" s="15" t="s">
        <v>269</v>
      </c>
      <c r="J504" s="15">
        <v>350</v>
      </c>
      <c r="K504" s="15">
        <v>420</v>
      </c>
      <c r="L504" s="39">
        <v>500</v>
      </c>
    </row>
    <row r="505" spans="1:12" ht="41.4" x14ac:dyDescent="0.25">
      <c r="A505" s="121" t="s">
        <v>899</v>
      </c>
      <c r="B505" s="83" t="s">
        <v>900</v>
      </c>
      <c r="C505" s="124" t="s">
        <v>848</v>
      </c>
      <c r="D505" s="83" t="s">
        <v>40</v>
      </c>
      <c r="E505" s="85">
        <f>SUM(E506:E507)+150.6</f>
        <v>150.6</v>
      </c>
      <c r="F505" s="85">
        <f>SUM(F506:F507)+158</f>
        <v>158</v>
      </c>
      <c r="G505" s="85">
        <f>SUM(G506:G507)+166</f>
        <v>166</v>
      </c>
      <c r="H505" s="14" t="s">
        <v>901</v>
      </c>
      <c r="I505" s="15" t="s">
        <v>29</v>
      </c>
      <c r="J505" s="15">
        <v>14.9</v>
      </c>
      <c r="K505" s="15">
        <v>15.2</v>
      </c>
      <c r="L505" s="39">
        <v>15.5</v>
      </c>
    </row>
    <row r="506" spans="1:12" ht="41.4" x14ac:dyDescent="0.25">
      <c r="A506" s="122"/>
      <c r="B506" s="84"/>
      <c r="C506" s="125"/>
      <c r="D506" s="84"/>
      <c r="E506" s="86"/>
      <c r="F506" s="86"/>
      <c r="G506" s="86"/>
      <c r="H506" s="10" t="s">
        <v>902</v>
      </c>
      <c r="I506" s="11" t="s">
        <v>269</v>
      </c>
      <c r="J506" s="11">
        <v>152</v>
      </c>
      <c r="K506" s="11">
        <v>157</v>
      </c>
      <c r="L506" s="40">
        <v>162</v>
      </c>
    </row>
    <row r="507" spans="1:12" ht="55.8" thickBot="1" x14ac:dyDescent="0.3">
      <c r="A507" s="123"/>
      <c r="B507" s="78"/>
      <c r="C507" s="126"/>
      <c r="D507" s="78"/>
      <c r="E507" s="87"/>
      <c r="F507" s="87"/>
      <c r="G507" s="87"/>
      <c r="H507" s="10" t="s">
        <v>903</v>
      </c>
      <c r="I507" s="11" t="s">
        <v>22</v>
      </c>
      <c r="J507" s="11"/>
      <c r="K507" s="11"/>
      <c r="L507" s="40">
        <v>1</v>
      </c>
    </row>
    <row r="508" spans="1:12" ht="42" thickBot="1" x14ac:dyDescent="0.3">
      <c r="A508" s="12" t="s">
        <v>904</v>
      </c>
      <c r="B508" s="13" t="s">
        <v>905</v>
      </c>
      <c r="C508" s="13" t="s">
        <v>906</v>
      </c>
      <c r="D508" s="14" t="s">
        <v>40</v>
      </c>
      <c r="E508" s="33">
        <v>95</v>
      </c>
      <c r="F508" s="33">
        <v>95</v>
      </c>
      <c r="G508" s="33">
        <v>99</v>
      </c>
      <c r="H508" s="14" t="s">
        <v>907</v>
      </c>
      <c r="I508" s="15" t="s">
        <v>29</v>
      </c>
      <c r="J508" s="15">
        <v>18.5</v>
      </c>
      <c r="K508" s="15">
        <v>18.600000000000001</v>
      </c>
      <c r="L508" s="39">
        <v>19</v>
      </c>
    </row>
    <row r="509" spans="1:12" ht="27.6" x14ac:dyDescent="0.25">
      <c r="A509" s="127" t="s">
        <v>908</v>
      </c>
      <c r="B509" s="129" t="s">
        <v>909</v>
      </c>
      <c r="C509" s="130"/>
      <c r="D509" s="131"/>
      <c r="E509" s="88">
        <f>E510+E511+E512+E517+E520+E521+E522+E525+E528</f>
        <v>7938</v>
      </c>
      <c r="F509" s="88">
        <f>F510+F511+F512+F517+F520+F521+F522+F525+F528</f>
        <v>4578.8</v>
      </c>
      <c r="G509" s="88">
        <f>G510+G511+G512+G517+G520+G521+G522+G525+G528</f>
        <v>4000</v>
      </c>
      <c r="H509" s="7" t="s">
        <v>910</v>
      </c>
      <c r="I509" s="8" t="s">
        <v>22</v>
      </c>
      <c r="J509" s="8">
        <v>20</v>
      </c>
      <c r="K509" s="8">
        <v>21</v>
      </c>
      <c r="L509" s="43">
        <v>22</v>
      </c>
    </row>
    <row r="510" spans="1:12" ht="27.6" x14ac:dyDescent="0.25">
      <c r="A510" s="138"/>
      <c r="B510" s="139"/>
      <c r="C510" s="140"/>
      <c r="D510" s="141"/>
      <c r="E510" s="89"/>
      <c r="F510" s="89"/>
      <c r="G510" s="89"/>
      <c r="H510" s="22" t="s">
        <v>911</v>
      </c>
      <c r="I510" s="23" t="s">
        <v>22</v>
      </c>
      <c r="J510" s="23">
        <v>13</v>
      </c>
      <c r="K510" s="23">
        <v>15</v>
      </c>
      <c r="L510" s="38">
        <v>16</v>
      </c>
    </row>
    <row r="511" spans="1:12" ht="28.2" thickBot="1" x14ac:dyDescent="0.3">
      <c r="A511" s="128"/>
      <c r="B511" s="132"/>
      <c r="C511" s="133"/>
      <c r="D511" s="134"/>
      <c r="E511" s="90"/>
      <c r="F511" s="90"/>
      <c r="G511" s="90"/>
      <c r="H511" s="22" t="s">
        <v>912</v>
      </c>
      <c r="I511" s="23" t="s">
        <v>29</v>
      </c>
      <c r="J511" s="23">
        <v>75</v>
      </c>
      <c r="K511" s="23">
        <v>75</v>
      </c>
      <c r="L511" s="38">
        <v>75</v>
      </c>
    </row>
    <row r="512" spans="1:12" x14ac:dyDescent="0.25">
      <c r="A512" s="121" t="s">
        <v>913</v>
      </c>
      <c r="B512" s="83" t="s">
        <v>914</v>
      </c>
      <c r="C512" s="124" t="s">
        <v>915</v>
      </c>
      <c r="D512" s="14"/>
      <c r="E512" s="31">
        <f>SUM(E513:E516)</f>
        <v>7198</v>
      </c>
      <c r="F512" s="31">
        <f>SUM(F513:F516)</f>
        <v>1478.8</v>
      </c>
      <c r="G512" s="31">
        <f>SUM(G513:G516)</f>
        <v>0</v>
      </c>
      <c r="H512" s="14" t="s">
        <v>916</v>
      </c>
      <c r="I512" s="15" t="s">
        <v>29</v>
      </c>
      <c r="J512" s="15">
        <v>80</v>
      </c>
      <c r="K512" s="15">
        <v>100</v>
      </c>
      <c r="L512" s="39"/>
    </row>
    <row r="513" spans="1:12" x14ac:dyDescent="0.25">
      <c r="A513" s="122"/>
      <c r="B513" s="84"/>
      <c r="C513" s="125"/>
      <c r="D513" s="10" t="s">
        <v>520</v>
      </c>
      <c r="E513" s="32">
        <v>1000</v>
      </c>
      <c r="F513" s="32">
        <v>0</v>
      </c>
      <c r="G513" s="32">
        <v>0</v>
      </c>
      <c r="H513" s="77" t="s">
        <v>917</v>
      </c>
      <c r="I513" s="79" t="s">
        <v>29</v>
      </c>
      <c r="J513" s="79">
        <v>80</v>
      </c>
      <c r="K513" s="79">
        <v>100</v>
      </c>
      <c r="L513" s="81"/>
    </row>
    <row r="514" spans="1:12" x14ac:dyDescent="0.25">
      <c r="A514" s="122"/>
      <c r="B514" s="84"/>
      <c r="C514" s="125"/>
      <c r="D514" s="10" t="s">
        <v>40</v>
      </c>
      <c r="E514" s="32">
        <v>1430.5</v>
      </c>
      <c r="F514" s="32">
        <v>73.400000000000006</v>
      </c>
      <c r="G514" s="32"/>
      <c r="H514" s="84"/>
      <c r="I514" s="91"/>
      <c r="J514" s="91"/>
      <c r="K514" s="91"/>
      <c r="L514" s="97"/>
    </row>
    <row r="515" spans="1:12" x14ac:dyDescent="0.25">
      <c r="A515" s="122"/>
      <c r="B515" s="84"/>
      <c r="C515" s="125"/>
      <c r="D515" s="10" t="s">
        <v>27</v>
      </c>
      <c r="E515" s="32">
        <v>1050</v>
      </c>
      <c r="F515" s="32">
        <v>416</v>
      </c>
      <c r="G515" s="32"/>
      <c r="H515" s="84"/>
      <c r="I515" s="91"/>
      <c r="J515" s="91"/>
      <c r="K515" s="91"/>
      <c r="L515" s="97"/>
    </row>
    <row r="516" spans="1:12" ht="14.4" thickBot="1" x14ac:dyDescent="0.3">
      <c r="A516" s="123"/>
      <c r="B516" s="78"/>
      <c r="C516" s="126"/>
      <c r="D516" s="10" t="s">
        <v>30</v>
      </c>
      <c r="E516" s="32">
        <v>3717.5</v>
      </c>
      <c r="F516" s="32">
        <v>989.4</v>
      </c>
      <c r="G516" s="32"/>
      <c r="H516" s="78"/>
      <c r="I516" s="80"/>
      <c r="J516" s="80"/>
      <c r="K516" s="80"/>
      <c r="L516" s="82"/>
    </row>
    <row r="517" spans="1:12" x14ac:dyDescent="0.25">
      <c r="A517" s="121" t="s">
        <v>918</v>
      </c>
      <c r="B517" s="83" t="s">
        <v>919</v>
      </c>
      <c r="C517" s="124" t="s">
        <v>920</v>
      </c>
      <c r="D517" s="14"/>
      <c r="E517" s="31">
        <f>SUM(E518:E519)</f>
        <v>0</v>
      </c>
      <c r="F517" s="31">
        <f>SUM(F518:F519)</f>
        <v>500</v>
      </c>
      <c r="G517" s="31">
        <f>SUM(G518:G519)</f>
        <v>2500</v>
      </c>
      <c r="H517" s="83" t="s">
        <v>921</v>
      </c>
      <c r="I517" s="98" t="s">
        <v>29</v>
      </c>
      <c r="J517" s="98"/>
      <c r="K517" s="98">
        <v>20</v>
      </c>
      <c r="L517" s="99">
        <v>100</v>
      </c>
    </row>
    <row r="518" spans="1:12" x14ac:dyDescent="0.25">
      <c r="A518" s="122"/>
      <c r="B518" s="84"/>
      <c r="C518" s="125"/>
      <c r="D518" s="10" t="s">
        <v>40</v>
      </c>
      <c r="E518" s="32">
        <v>0</v>
      </c>
      <c r="F518" s="32">
        <v>500</v>
      </c>
      <c r="G518" s="32">
        <v>1000</v>
      </c>
      <c r="H518" s="84"/>
      <c r="I518" s="91"/>
      <c r="J518" s="91"/>
      <c r="K518" s="91"/>
      <c r="L518" s="97"/>
    </row>
    <row r="519" spans="1:12" ht="14.4" thickBot="1" x14ac:dyDescent="0.3">
      <c r="A519" s="123"/>
      <c r="B519" s="78"/>
      <c r="C519" s="126"/>
      <c r="D519" s="10" t="s">
        <v>27</v>
      </c>
      <c r="E519" s="32">
        <v>0</v>
      </c>
      <c r="F519" s="32">
        <v>0</v>
      </c>
      <c r="G519" s="32">
        <v>1500</v>
      </c>
      <c r="H519" s="78"/>
      <c r="I519" s="80"/>
      <c r="J519" s="80"/>
      <c r="K519" s="80"/>
      <c r="L519" s="82"/>
    </row>
    <row r="520" spans="1:12" ht="28.2" thickBot="1" x14ac:dyDescent="0.3">
      <c r="A520" s="12" t="s">
        <v>922</v>
      </c>
      <c r="B520" s="13" t="s">
        <v>923</v>
      </c>
      <c r="C520" s="13" t="s">
        <v>924</v>
      </c>
      <c r="D520" s="14" t="s">
        <v>40</v>
      </c>
      <c r="E520" s="33">
        <v>70</v>
      </c>
      <c r="F520" s="33">
        <v>0</v>
      </c>
      <c r="G520" s="33">
        <v>0</v>
      </c>
      <c r="H520" s="14" t="s">
        <v>330</v>
      </c>
      <c r="I520" s="15" t="s">
        <v>22</v>
      </c>
      <c r="J520" s="15">
        <v>1</v>
      </c>
      <c r="K520" s="15"/>
      <c r="L520" s="39"/>
    </row>
    <row r="521" spans="1:12" ht="28.2" thickBot="1" x14ac:dyDescent="0.3">
      <c r="A521" s="12" t="s">
        <v>925</v>
      </c>
      <c r="B521" s="13" t="s">
        <v>926</v>
      </c>
      <c r="C521" s="13" t="s">
        <v>920</v>
      </c>
      <c r="D521" s="14" t="s">
        <v>40</v>
      </c>
      <c r="E521" s="33">
        <v>70</v>
      </c>
      <c r="F521" s="33">
        <v>0</v>
      </c>
      <c r="G521" s="33">
        <v>0</v>
      </c>
      <c r="H521" s="14" t="s">
        <v>927</v>
      </c>
      <c r="I521" s="15" t="s">
        <v>22</v>
      </c>
      <c r="J521" s="15">
        <v>1</v>
      </c>
      <c r="K521" s="15"/>
      <c r="L521" s="39"/>
    </row>
    <row r="522" spans="1:12" x14ac:dyDescent="0.25">
      <c r="A522" s="121" t="s">
        <v>928</v>
      </c>
      <c r="B522" s="83" t="s">
        <v>929</v>
      </c>
      <c r="C522" s="124" t="s">
        <v>930</v>
      </c>
      <c r="D522" s="14"/>
      <c r="E522" s="31">
        <f>SUM(E523:E524)</f>
        <v>50</v>
      </c>
      <c r="F522" s="31">
        <f>SUM(F523:F524)</f>
        <v>1500</v>
      </c>
      <c r="G522" s="31">
        <f>SUM(G523:G524)</f>
        <v>1500</v>
      </c>
      <c r="H522" s="14" t="s">
        <v>931</v>
      </c>
      <c r="I522" s="15" t="s">
        <v>22</v>
      </c>
      <c r="J522" s="15">
        <v>1</v>
      </c>
      <c r="K522" s="15"/>
      <c r="L522" s="39"/>
    </row>
    <row r="523" spans="1:12" x14ac:dyDescent="0.25">
      <c r="A523" s="122"/>
      <c r="B523" s="84"/>
      <c r="C523" s="125"/>
      <c r="D523" s="10" t="s">
        <v>40</v>
      </c>
      <c r="E523" s="32">
        <v>50</v>
      </c>
      <c r="F523" s="32">
        <v>1000</v>
      </c>
      <c r="G523" s="32">
        <v>1500</v>
      </c>
      <c r="H523" s="77" t="s">
        <v>916</v>
      </c>
      <c r="I523" s="79" t="s">
        <v>29</v>
      </c>
      <c r="J523" s="79"/>
      <c r="K523" s="79">
        <v>50</v>
      </c>
      <c r="L523" s="81">
        <v>100</v>
      </c>
    </row>
    <row r="524" spans="1:12" ht="14.4" thickBot="1" x14ac:dyDescent="0.3">
      <c r="A524" s="123"/>
      <c r="B524" s="78"/>
      <c r="C524" s="126"/>
      <c r="D524" s="10" t="s">
        <v>27</v>
      </c>
      <c r="E524" s="32"/>
      <c r="F524" s="32">
        <v>500</v>
      </c>
      <c r="G524" s="32"/>
      <c r="H524" s="78"/>
      <c r="I524" s="80"/>
      <c r="J524" s="80"/>
      <c r="K524" s="80"/>
      <c r="L524" s="82"/>
    </row>
    <row r="525" spans="1:12" ht="27.6" x14ac:dyDescent="0.25">
      <c r="A525" s="121" t="s">
        <v>932</v>
      </c>
      <c r="B525" s="83" t="s">
        <v>933</v>
      </c>
      <c r="C525" s="124" t="s">
        <v>920</v>
      </c>
      <c r="D525" s="14"/>
      <c r="E525" s="31">
        <f>SUM(E526:E527)</f>
        <v>500</v>
      </c>
      <c r="F525" s="31">
        <f>SUM(F526:F527)</f>
        <v>300</v>
      </c>
      <c r="G525" s="31">
        <f>SUM(G526:G527)</f>
        <v>0</v>
      </c>
      <c r="H525" s="14" t="s">
        <v>934</v>
      </c>
      <c r="I525" s="15" t="s">
        <v>29</v>
      </c>
      <c r="J525" s="15">
        <v>100</v>
      </c>
      <c r="K525" s="15"/>
      <c r="L525" s="39"/>
    </row>
    <row r="526" spans="1:12" x14ac:dyDescent="0.25">
      <c r="A526" s="122"/>
      <c r="B526" s="84"/>
      <c r="C526" s="125"/>
      <c r="D526" s="10" t="s">
        <v>40</v>
      </c>
      <c r="E526" s="32">
        <v>221</v>
      </c>
      <c r="F526" s="32">
        <v>300</v>
      </c>
      <c r="G526" s="32">
        <v>0</v>
      </c>
      <c r="H526" s="10" t="s">
        <v>935</v>
      </c>
      <c r="I526" s="11" t="s">
        <v>29</v>
      </c>
      <c r="J526" s="11">
        <v>100</v>
      </c>
      <c r="K526" s="11"/>
      <c r="L526" s="40"/>
    </row>
    <row r="527" spans="1:12" ht="28.2" thickBot="1" x14ac:dyDescent="0.3">
      <c r="A527" s="123"/>
      <c r="B527" s="78"/>
      <c r="C527" s="126"/>
      <c r="D527" s="10" t="s">
        <v>27</v>
      </c>
      <c r="E527" s="32">
        <v>279</v>
      </c>
      <c r="F527" s="32">
        <v>0</v>
      </c>
      <c r="G527" s="32">
        <v>0</v>
      </c>
      <c r="H527" s="10" t="s">
        <v>936</v>
      </c>
      <c r="I527" s="11" t="s">
        <v>22</v>
      </c>
      <c r="J527" s="11"/>
      <c r="K527" s="11">
        <v>1</v>
      </c>
      <c r="L527" s="40"/>
    </row>
    <row r="528" spans="1:12" ht="27.6" x14ac:dyDescent="0.25">
      <c r="A528" s="121" t="s">
        <v>937</v>
      </c>
      <c r="B528" s="83" t="s">
        <v>938</v>
      </c>
      <c r="C528" s="124" t="s">
        <v>920</v>
      </c>
      <c r="D528" s="14"/>
      <c r="E528" s="31">
        <f>SUM(E529:E530)</f>
        <v>50</v>
      </c>
      <c r="F528" s="31">
        <f>SUM(F529:F530)</f>
        <v>800</v>
      </c>
      <c r="G528" s="31">
        <f>SUM(G529:G530)</f>
        <v>0</v>
      </c>
      <c r="H528" s="14" t="s">
        <v>939</v>
      </c>
      <c r="I528" s="15" t="s">
        <v>22</v>
      </c>
      <c r="J528" s="15">
        <v>1</v>
      </c>
      <c r="K528" s="15"/>
      <c r="L528" s="39"/>
    </row>
    <row r="529" spans="1:12" ht="30" customHeight="1" x14ac:dyDescent="0.25">
      <c r="A529" s="122"/>
      <c r="B529" s="84"/>
      <c r="C529" s="125"/>
      <c r="D529" s="10" t="s">
        <v>27</v>
      </c>
      <c r="E529" s="32">
        <v>0</v>
      </c>
      <c r="F529" s="32">
        <v>500</v>
      </c>
      <c r="G529" s="32">
        <v>0</v>
      </c>
      <c r="H529" s="77" t="s">
        <v>940</v>
      </c>
      <c r="I529" s="79" t="s">
        <v>29</v>
      </c>
      <c r="J529" s="79"/>
      <c r="K529" s="79">
        <v>100</v>
      </c>
      <c r="L529" s="81"/>
    </row>
    <row r="530" spans="1:12" ht="14.4" thickBot="1" x14ac:dyDescent="0.3">
      <c r="A530" s="123"/>
      <c r="B530" s="78"/>
      <c r="C530" s="126"/>
      <c r="D530" s="10" t="s">
        <v>40</v>
      </c>
      <c r="E530" s="32">
        <v>50</v>
      </c>
      <c r="F530" s="32">
        <v>300</v>
      </c>
      <c r="G530" s="32"/>
      <c r="H530" s="78"/>
      <c r="I530" s="80"/>
      <c r="J530" s="80"/>
      <c r="K530" s="80"/>
      <c r="L530" s="82"/>
    </row>
    <row r="531" spans="1:12" ht="30" customHeight="1" thickBot="1" x14ac:dyDescent="0.3">
      <c r="A531" s="4" t="s">
        <v>941</v>
      </c>
      <c r="B531" s="5" t="s">
        <v>942</v>
      </c>
      <c r="C531" s="92" t="s">
        <v>943</v>
      </c>
      <c r="D531" s="93"/>
      <c r="E531" s="28">
        <f>E532+E577+E637+E646</f>
        <v>177337.59999999998</v>
      </c>
      <c r="F531" s="28">
        <f>F532+F577+F637+F646</f>
        <v>173132.20000000004</v>
      </c>
      <c r="G531" s="28">
        <f>G532+G577+G637+G646</f>
        <v>160194.70000000001</v>
      </c>
      <c r="H531" s="94"/>
      <c r="I531" s="95"/>
      <c r="J531" s="95"/>
      <c r="K531" s="95"/>
      <c r="L531" s="96"/>
    </row>
    <row r="532" spans="1:12" x14ac:dyDescent="0.25">
      <c r="A532" s="127" t="s">
        <v>944</v>
      </c>
      <c r="B532" s="129" t="s">
        <v>945</v>
      </c>
      <c r="C532" s="130"/>
      <c r="D532" s="131"/>
      <c r="E532" s="88">
        <f>E533+E534+E535+E542+E543+E548+E554+E561+E563+E568+E570+E573+E576</f>
        <v>2305.4000000000005</v>
      </c>
      <c r="F532" s="88">
        <f>F533+F534+F535+F542+F543+F548+F554+F561+F563+F568+F570+F573+F576</f>
        <v>1764</v>
      </c>
      <c r="G532" s="88">
        <f>G533+G534+G535+G542+G543+G548+G554+G561+G563+G568+G570+G573+G576</f>
        <v>1439.5</v>
      </c>
      <c r="H532" s="7" t="s">
        <v>946</v>
      </c>
      <c r="I532" s="8" t="s">
        <v>29</v>
      </c>
      <c r="J532" s="8">
        <v>93</v>
      </c>
      <c r="K532" s="8">
        <v>93</v>
      </c>
      <c r="L532" s="43">
        <v>93</v>
      </c>
    </row>
    <row r="533" spans="1:12" ht="41.4" x14ac:dyDescent="0.25">
      <c r="A533" s="138"/>
      <c r="B533" s="139"/>
      <c r="C533" s="140"/>
      <c r="D533" s="141"/>
      <c r="E533" s="89"/>
      <c r="F533" s="89"/>
      <c r="G533" s="89"/>
      <c r="H533" s="22" t="s">
        <v>947</v>
      </c>
      <c r="I533" s="23" t="s">
        <v>29</v>
      </c>
      <c r="J533" s="23">
        <v>68</v>
      </c>
      <c r="K533" s="23">
        <v>68</v>
      </c>
      <c r="L533" s="38">
        <v>68</v>
      </c>
    </row>
    <row r="534" spans="1:12" ht="28.2" thickBot="1" x14ac:dyDescent="0.3">
      <c r="A534" s="128"/>
      <c r="B534" s="132"/>
      <c r="C534" s="133"/>
      <c r="D534" s="134"/>
      <c r="E534" s="90"/>
      <c r="F534" s="90"/>
      <c r="G534" s="90"/>
      <c r="H534" s="22" t="s">
        <v>948</v>
      </c>
      <c r="I534" s="23" t="s">
        <v>269</v>
      </c>
      <c r="J534" s="23">
        <v>0.85</v>
      </c>
      <c r="K534" s="23">
        <v>0.85</v>
      </c>
      <c r="L534" s="38">
        <v>0.85</v>
      </c>
    </row>
    <row r="535" spans="1:12" x14ac:dyDescent="0.25">
      <c r="A535" s="121" t="s">
        <v>949</v>
      </c>
      <c r="B535" s="83" t="s">
        <v>950</v>
      </c>
      <c r="C535" s="124" t="s">
        <v>951</v>
      </c>
      <c r="D535" s="83" t="s">
        <v>40</v>
      </c>
      <c r="E535" s="85">
        <f>SUM(E536:E541)+412.1</f>
        <v>412.1</v>
      </c>
      <c r="F535" s="85">
        <f>SUM(F536:F541)+242.8</f>
        <v>242.8</v>
      </c>
      <c r="G535" s="85">
        <f>SUM(G536:G541)+301.3</f>
        <v>301.3</v>
      </c>
      <c r="H535" s="14" t="s">
        <v>952</v>
      </c>
      <c r="I535" s="15" t="s">
        <v>22</v>
      </c>
      <c r="J535" s="15">
        <v>5</v>
      </c>
      <c r="K535" s="15">
        <v>5</v>
      </c>
      <c r="L535" s="39">
        <v>5</v>
      </c>
    </row>
    <row r="536" spans="1:12" x14ac:dyDescent="0.25">
      <c r="A536" s="122"/>
      <c r="B536" s="84"/>
      <c r="C536" s="125"/>
      <c r="D536" s="84"/>
      <c r="E536" s="86"/>
      <c r="F536" s="86"/>
      <c r="G536" s="86"/>
      <c r="H536" s="10" t="s">
        <v>953</v>
      </c>
      <c r="I536" s="11" t="s">
        <v>269</v>
      </c>
      <c r="J536" s="11">
        <v>100</v>
      </c>
      <c r="K536" s="11">
        <v>100</v>
      </c>
      <c r="L536" s="40">
        <v>100</v>
      </c>
    </row>
    <row r="537" spans="1:12" x14ac:dyDescent="0.25">
      <c r="A537" s="122"/>
      <c r="B537" s="84"/>
      <c r="C537" s="125"/>
      <c r="D537" s="84"/>
      <c r="E537" s="86"/>
      <c r="F537" s="86"/>
      <c r="G537" s="86"/>
      <c r="H537" s="10" t="s">
        <v>954</v>
      </c>
      <c r="I537" s="11" t="s">
        <v>22</v>
      </c>
      <c r="J537" s="11">
        <v>10</v>
      </c>
      <c r="K537" s="11">
        <v>10</v>
      </c>
      <c r="L537" s="40">
        <v>10</v>
      </c>
    </row>
    <row r="538" spans="1:12" ht="27.6" x14ac:dyDescent="0.25">
      <c r="A538" s="122"/>
      <c r="B538" s="84"/>
      <c r="C538" s="125"/>
      <c r="D538" s="84"/>
      <c r="E538" s="86"/>
      <c r="F538" s="86"/>
      <c r="G538" s="86"/>
      <c r="H538" s="10" t="s">
        <v>955</v>
      </c>
      <c r="I538" s="11" t="s">
        <v>269</v>
      </c>
      <c r="J538" s="11">
        <v>100</v>
      </c>
      <c r="K538" s="11">
        <v>100</v>
      </c>
      <c r="L538" s="40">
        <v>100</v>
      </c>
    </row>
    <row r="539" spans="1:12" x14ac:dyDescent="0.25">
      <c r="A539" s="122"/>
      <c r="B539" s="84"/>
      <c r="C539" s="125"/>
      <c r="D539" s="84"/>
      <c r="E539" s="86"/>
      <c r="F539" s="86"/>
      <c r="G539" s="86"/>
      <c r="H539" s="10" t="s">
        <v>956</v>
      </c>
      <c r="I539" s="11" t="s">
        <v>269</v>
      </c>
      <c r="J539" s="11">
        <v>360</v>
      </c>
      <c r="K539" s="11">
        <v>360</v>
      </c>
      <c r="L539" s="40">
        <v>360</v>
      </c>
    </row>
    <row r="540" spans="1:12" x14ac:dyDescent="0.25">
      <c r="A540" s="122"/>
      <c r="B540" s="84"/>
      <c r="C540" s="125"/>
      <c r="D540" s="84"/>
      <c r="E540" s="86"/>
      <c r="F540" s="86"/>
      <c r="G540" s="86"/>
      <c r="H540" s="10" t="s">
        <v>957</v>
      </c>
      <c r="I540" s="11" t="s">
        <v>269</v>
      </c>
      <c r="J540" s="42">
        <v>1300</v>
      </c>
      <c r="K540" s="42">
        <v>1200</v>
      </c>
      <c r="L540" s="44">
        <v>1200</v>
      </c>
    </row>
    <row r="541" spans="1:12" ht="28.2" thickBot="1" x14ac:dyDescent="0.3">
      <c r="A541" s="123"/>
      <c r="B541" s="78"/>
      <c r="C541" s="126"/>
      <c r="D541" s="78"/>
      <c r="E541" s="87"/>
      <c r="F541" s="87"/>
      <c r="G541" s="87"/>
      <c r="H541" s="10" t="s">
        <v>958</v>
      </c>
      <c r="I541" s="11" t="s">
        <v>269</v>
      </c>
      <c r="J541" s="42">
        <v>1000</v>
      </c>
      <c r="K541" s="42">
        <v>1000</v>
      </c>
      <c r="L541" s="44">
        <v>1000</v>
      </c>
    </row>
    <row r="542" spans="1:12" ht="42" thickBot="1" x14ac:dyDescent="0.3">
      <c r="A542" s="12" t="s">
        <v>959</v>
      </c>
      <c r="B542" s="13" t="s">
        <v>960</v>
      </c>
      <c r="C542" s="13" t="s">
        <v>943</v>
      </c>
      <c r="D542" s="14" t="s">
        <v>40</v>
      </c>
      <c r="E542" s="33">
        <v>197.2</v>
      </c>
      <c r="F542" s="33">
        <v>197</v>
      </c>
      <c r="G542" s="33">
        <v>197</v>
      </c>
      <c r="H542" s="14" t="s">
        <v>961</v>
      </c>
      <c r="I542" s="15" t="s">
        <v>22</v>
      </c>
      <c r="J542" s="15">
        <v>30</v>
      </c>
      <c r="K542" s="15">
        <v>30</v>
      </c>
      <c r="L542" s="39">
        <v>30</v>
      </c>
    </row>
    <row r="543" spans="1:12" ht="30" customHeight="1" x14ac:dyDescent="0.25">
      <c r="A543" s="121" t="s">
        <v>962</v>
      </c>
      <c r="B543" s="83" t="s">
        <v>963</v>
      </c>
      <c r="C543" s="124" t="s">
        <v>943</v>
      </c>
      <c r="D543" s="83" t="s">
        <v>40</v>
      </c>
      <c r="E543" s="85">
        <f>SUM(E544:E547)+7</f>
        <v>7</v>
      </c>
      <c r="F543" s="85">
        <f>SUM(F544:F547)+7</f>
        <v>7</v>
      </c>
      <c r="G543" s="85">
        <f>SUM(G544:G547)+7</f>
        <v>7</v>
      </c>
      <c r="H543" s="14" t="s">
        <v>964</v>
      </c>
      <c r="I543" s="15" t="s">
        <v>22</v>
      </c>
      <c r="J543" s="15">
        <v>1</v>
      </c>
      <c r="K543" s="15">
        <v>1</v>
      </c>
      <c r="L543" s="39">
        <v>1</v>
      </c>
    </row>
    <row r="544" spans="1:12" ht="27.6" x14ac:dyDescent="0.25">
      <c r="A544" s="122"/>
      <c r="B544" s="84"/>
      <c r="C544" s="125"/>
      <c r="D544" s="84"/>
      <c r="E544" s="86"/>
      <c r="F544" s="86"/>
      <c r="G544" s="86"/>
      <c r="H544" s="10" t="s">
        <v>965</v>
      </c>
      <c r="I544" s="11" t="s">
        <v>22</v>
      </c>
      <c r="J544" s="11">
        <v>1</v>
      </c>
      <c r="K544" s="11">
        <v>1</v>
      </c>
      <c r="L544" s="40">
        <v>1</v>
      </c>
    </row>
    <row r="545" spans="1:12" x14ac:dyDescent="0.25">
      <c r="A545" s="122"/>
      <c r="B545" s="84"/>
      <c r="C545" s="125"/>
      <c r="D545" s="84"/>
      <c r="E545" s="86"/>
      <c r="F545" s="86"/>
      <c r="G545" s="86"/>
      <c r="H545" s="10" t="s">
        <v>966</v>
      </c>
      <c r="I545" s="11" t="s">
        <v>22</v>
      </c>
      <c r="J545" s="11">
        <v>1</v>
      </c>
      <c r="K545" s="11">
        <v>1</v>
      </c>
      <c r="L545" s="40">
        <v>1</v>
      </c>
    </row>
    <row r="546" spans="1:12" x14ac:dyDescent="0.25">
      <c r="A546" s="122"/>
      <c r="B546" s="84"/>
      <c r="C546" s="125"/>
      <c r="D546" s="84"/>
      <c r="E546" s="86"/>
      <c r="F546" s="86"/>
      <c r="G546" s="86"/>
      <c r="H546" s="10" t="s">
        <v>967</v>
      </c>
      <c r="I546" s="11" t="s">
        <v>22</v>
      </c>
      <c r="J546" s="11">
        <v>1</v>
      </c>
      <c r="K546" s="11">
        <v>1</v>
      </c>
      <c r="L546" s="40">
        <v>1</v>
      </c>
    </row>
    <row r="547" spans="1:12" ht="28.2" thickBot="1" x14ac:dyDescent="0.3">
      <c r="A547" s="123"/>
      <c r="B547" s="78"/>
      <c r="C547" s="126"/>
      <c r="D547" s="78"/>
      <c r="E547" s="87"/>
      <c r="F547" s="87"/>
      <c r="G547" s="87"/>
      <c r="H547" s="10" t="s">
        <v>968</v>
      </c>
      <c r="I547" s="11" t="s">
        <v>220</v>
      </c>
      <c r="J547" s="11">
        <v>5</v>
      </c>
      <c r="K547" s="11">
        <v>26</v>
      </c>
      <c r="L547" s="40">
        <v>26</v>
      </c>
    </row>
    <row r="548" spans="1:12" ht="27.6" x14ac:dyDescent="0.25">
      <c r="A548" s="121" t="s">
        <v>969</v>
      </c>
      <c r="B548" s="83" t="s">
        <v>970</v>
      </c>
      <c r="C548" s="124" t="s">
        <v>943</v>
      </c>
      <c r="D548" s="83" t="s">
        <v>40</v>
      </c>
      <c r="E548" s="85">
        <f>SUM(E549:E553)+150</f>
        <v>150</v>
      </c>
      <c r="F548" s="85">
        <f>SUM(F549:F553)+150</f>
        <v>150</v>
      </c>
      <c r="G548" s="85">
        <f>SUM(G549:G553)+150</f>
        <v>150</v>
      </c>
      <c r="H548" s="14" t="s">
        <v>971</v>
      </c>
      <c r="I548" s="15" t="s">
        <v>29</v>
      </c>
      <c r="J548" s="15">
        <v>17.5</v>
      </c>
      <c r="K548" s="15">
        <v>17.5</v>
      </c>
      <c r="L548" s="39">
        <v>17.5</v>
      </c>
    </row>
    <row r="549" spans="1:12" ht="27.6" x14ac:dyDescent="0.25">
      <c r="A549" s="122"/>
      <c r="B549" s="84"/>
      <c r="C549" s="125"/>
      <c r="D549" s="84"/>
      <c r="E549" s="86"/>
      <c r="F549" s="86"/>
      <c r="G549" s="86"/>
      <c r="H549" s="10" t="s">
        <v>972</v>
      </c>
      <c r="I549" s="11" t="s">
        <v>22</v>
      </c>
      <c r="J549" s="11">
        <v>9</v>
      </c>
      <c r="K549" s="11">
        <v>9</v>
      </c>
      <c r="L549" s="40">
        <v>9</v>
      </c>
    </row>
    <row r="550" spans="1:12" ht="27.6" x14ac:dyDescent="0.25">
      <c r="A550" s="122"/>
      <c r="B550" s="84"/>
      <c r="C550" s="125"/>
      <c r="D550" s="84"/>
      <c r="E550" s="86"/>
      <c r="F550" s="86"/>
      <c r="G550" s="86"/>
      <c r="H550" s="10" t="s">
        <v>973</v>
      </c>
      <c r="I550" s="11" t="s">
        <v>29</v>
      </c>
      <c r="J550" s="11">
        <v>42.4</v>
      </c>
      <c r="K550" s="11">
        <v>42.4</v>
      </c>
      <c r="L550" s="40">
        <v>42.4</v>
      </c>
    </row>
    <row r="551" spans="1:12" ht="27.6" x14ac:dyDescent="0.25">
      <c r="A551" s="122"/>
      <c r="B551" s="84"/>
      <c r="C551" s="125"/>
      <c r="D551" s="84"/>
      <c r="E551" s="86"/>
      <c r="F551" s="86"/>
      <c r="G551" s="86"/>
      <c r="H551" s="10" t="s">
        <v>974</v>
      </c>
      <c r="I551" s="11" t="s">
        <v>22</v>
      </c>
      <c r="J551" s="11">
        <v>19</v>
      </c>
      <c r="K551" s="11">
        <v>19</v>
      </c>
      <c r="L551" s="40">
        <v>19</v>
      </c>
    </row>
    <row r="552" spans="1:12" ht="27.6" x14ac:dyDescent="0.25">
      <c r="A552" s="122"/>
      <c r="B552" s="84"/>
      <c r="C552" s="125"/>
      <c r="D552" s="84"/>
      <c r="E552" s="86"/>
      <c r="F552" s="86"/>
      <c r="G552" s="86"/>
      <c r="H552" s="10" t="s">
        <v>975</v>
      </c>
      <c r="I552" s="11" t="s">
        <v>22</v>
      </c>
      <c r="J552" s="11">
        <v>75</v>
      </c>
      <c r="K552" s="11">
        <v>75</v>
      </c>
      <c r="L552" s="40">
        <v>75</v>
      </c>
    </row>
    <row r="553" spans="1:12" ht="14.4" thickBot="1" x14ac:dyDescent="0.3">
      <c r="A553" s="123"/>
      <c r="B553" s="78"/>
      <c r="C553" s="126"/>
      <c r="D553" s="78"/>
      <c r="E553" s="87"/>
      <c r="F553" s="87"/>
      <c r="G553" s="87"/>
      <c r="H553" s="10" t="s">
        <v>976</v>
      </c>
      <c r="I553" s="11" t="s">
        <v>220</v>
      </c>
      <c r="J553" s="11">
        <v>1</v>
      </c>
      <c r="K553" s="11">
        <v>1</v>
      </c>
      <c r="L553" s="40">
        <v>1</v>
      </c>
    </row>
    <row r="554" spans="1:12" ht="41.4" x14ac:dyDescent="0.25">
      <c r="A554" s="121" t="s">
        <v>977</v>
      </c>
      <c r="B554" s="83" t="s">
        <v>978</v>
      </c>
      <c r="C554" s="124" t="s">
        <v>943</v>
      </c>
      <c r="D554" s="83" t="s">
        <v>40</v>
      </c>
      <c r="E554" s="85">
        <f>SUM(E555:E560)+389</f>
        <v>389</v>
      </c>
      <c r="F554" s="85">
        <f>SUM(F555:F560)+391</f>
        <v>391</v>
      </c>
      <c r="G554" s="85">
        <f>SUM(G555:G560)+391</f>
        <v>391</v>
      </c>
      <c r="H554" s="14" t="s">
        <v>979</v>
      </c>
      <c r="I554" s="15" t="s">
        <v>22</v>
      </c>
      <c r="J554" s="15">
        <v>6</v>
      </c>
      <c r="K554" s="15">
        <v>6</v>
      </c>
      <c r="L554" s="39">
        <v>2</v>
      </c>
    </row>
    <row r="555" spans="1:12" ht="41.4" x14ac:dyDescent="0.25">
      <c r="A555" s="122"/>
      <c r="B555" s="84"/>
      <c r="C555" s="125"/>
      <c r="D555" s="84"/>
      <c r="E555" s="86"/>
      <c r="F555" s="86"/>
      <c r="G555" s="86"/>
      <c r="H555" s="10" t="s">
        <v>980</v>
      </c>
      <c r="I555" s="11" t="s">
        <v>22</v>
      </c>
      <c r="J555" s="11">
        <v>1</v>
      </c>
      <c r="K555" s="11">
        <v>1</v>
      </c>
      <c r="L555" s="40">
        <v>1</v>
      </c>
    </row>
    <row r="556" spans="1:12" x14ac:dyDescent="0.25">
      <c r="A556" s="122"/>
      <c r="B556" s="84"/>
      <c r="C556" s="125"/>
      <c r="D556" s="84"/>
      <c r="E556" s="86"/>
      <c r="F556" s="86"/>
      <c r="G556" s="86"/>
      <c r="H556" s="10" t="s">
        <v>981</v>
      </c>
      <c r="I556" s="11" t="s">
        <v>22</v>
      </c>
      <c r="J556" s="11">
        <v>2</v>
      </c>
      <c r="K556" s="11">
        <v>2</v>
      </c>
      <c r="L556" s="40">
        <v>2</v>
      </c>
    </row>
    <row r="557" spans="1:12" x14ac:dyDescent="0.25">
      <c r="A557" s="122"/>
      <c r="B557" s="84"/>
      <c r="C557" s="125"/>
      <c r="D557" s="84"/>
      <c r="E557" s="86"/>
      <c r="F557" s="86"/>
      <c r="G557" s="86"/>
      <c r="H557" s="10" t="s">
        <v>982</v>
      </c>
      <c r="I557" s="11" t="s">
        <v>269</v>
      </c>
      <c r="J557" s="11">
        <v>65</v>
      </c>
      <c r="K557" s="11">
        <v>65</v>
      </c>
      <c r="L557" s="40">
        <v>65</v>
      </c>
    </row>
    <row r="558" spans="1:12" ht="41.4" x14ac:dyDescent="0.25">
      <c r="A558" s="122"/>
      <c r="B558" s="84"/>
      <c r="C558" s="125"/>
      <c r="D558" s="84"/>
      <c r="E558" s="86"/>
      <c r="F558" s="86"/>
      <c r="G558" s="86"/>
      <c r="H558" s="10" t="s">
        <v>983</v>
      </c>
      <c r="I558" s="11" t="s">
        <v>269</v>
      </c>
      <c r="J558" s="42">
        <v>2470</v>
      </c>
      <c r="K558" s="42">
        <v>2470</v>
      </c>
      <c r="L558" s="44">
        <v>2470</v>
      </c>
    </row>
    <row r="559" spans="1:12" ht="27.6" x14ac:dyDescent="0.25">
      <c r="A559" s="122"/>
      <c r="B559" s="84"/>
      <c r="C559" s="125"/>
      <c r="D559" s="84"/>
      <c r="E559" s="86"/>
      <c r="F559" s="86"/>
      <c r="G559" s="86"/>
      <c r="H559" s="10" t="s">
        <v>984</v>
      </c>
      <c r="I559" s="11" t="s">
        <v>269</v>
      </c>
      <c r="J559" s="42">
        <v>1100</v>
      </c>
      <c r="K559" s="42">
        <v>1100</v>
      </c>
      <c r="L559" s="44">
        <v>1100</v>
      </c>
    </row>
    <row r="560" spans="1:12" ht="28.2" thickBot="1" x14ac:dyDescent="0.3">
      <c r="A560" s="123"/>
      <c r="B560" s="78"/>
      <c r="C560" s="126"/>
      <c r="D560" s="78"/>
      <c r="E560" s="87"/>
      <c r="F560" s="87"/>
      <c r="G560" s="87"/>
      <c r="H560" s="10" t="s">
        <v>985</v>
      </c>
      <c r="I560" s="11" t="s">
        <v>22</v>
      </c>
      <c r="J560" s="11">
        <v>2</v>
      </c>
      <c r="K560" s="11">
        <v>2</v>
      </c>
      <c r="L560" s="40">
        <v>2</v>
      </c>
    </row>
    <row r="561" spans="1:12" x14ac:dyDescent="0.25">
      <c r="A561" s="121" t="s">
        <v>986</v>
      </c>
      <c r="B561" s="83" t="s">
        <v>987</v>
      </c>
      <c r="C561" s="124" t="s">
        <v>943</v>
      </c>
      <c r="D561" s="83" t="s">
        <v>40</v>
      </c>
      <c r="E561" s="85">
        <f>SUM(E562:E562)+30</f>
        <v>30</v>
      </c>
      <c r="F561" s="85">
        <f>SUM(F562:F562)+30</f>
        <v>30</v>
      </c>
      <c r="G561" s="85">
        <f>SUM(G562:G562)+30</f>
        <v>30</v>
      </c>
      <c r="H561" s="14" t="s">
        <v>988</v>
      </c>
      <c r="I561" s="15" t="s">
        <v>22</v>
      </c>
      <c r="J561" s="15">
        <v>10</v>
      </c>
      <c r="K561" s="15">
        <v>10</v>
      </c>
      <c r="L561" s="39">
        <v>10</v>
      </c>
    </row>
    <row r="562" spans="1:12" ht="42" thickBot="1" x14ac:dyDescent="0.3">
      <c r="A562" s="123"/>
      <c r="B562" s="78"/>
      <c r="C562" s="126"/>
      <c r="D562" s="78"/>
      <c r="E562" s="87"/>
      <c r="F562" s="87"/>
      <c r="G562" s="87"/>
      <c r="H562" s="10" t="s">
        <v>989</v>
      </c>
      <c r="I562" s="11" t="s">
        <v>269</v>
      </c>
      <c r="J562" s="42">
        <v>1200</v>
      </c>
      <c r="K562" s="42">
        <v>1400</v>
      </c>
      <c r="L562" s="44">
        <v>1400</v>
      </c>
    </row>
    <row r="563" spans="1:12" ht="46.5" customHeight="1" x14ac:dyDescent="0.25">
      <c r="A563" s="121" t="s">
        <v>990</v>
      </c>
      <c r="B563" s="83" t="s">
        <v>991</v>
      </c>
      <c r="C563" s="124" t="s">
        <v>943</v>
      </c>
      <c r="D563" s="83" t="s">
        <v>40</v>
      </c>
      <c r="E563" s="85">
        <f>SUM(E564:E567)+300</f>
        <v>300</v>
      </c>
      <c r="F563" s="85">
        <f>SUM(F564:F567)+300</f>
        <v>300</v>
      </c>
      <c r="G563" s="85">
        <f>SUM(G564:G567)+300</f>
        <v>300</v>
      </c>
      <c r="H563" s="14" t="s">
        <v>992</v>
      </c>
      <c r="I563" s="15" t="s">
        <v>29</v>
      </c>
      <c r="J563" s="15">
        <v>100</v>
      </c>
      <c r="K563" s="15">
        <v>100</v>
      </c>
      <c r="L563" s="39">
        <v>100</v>
      </c>
    </row>
    <row r="564" spans="1:12" ht="41.4" x14ac:dyDescent="0.25">
      <c r="A564" s="122"/>
      <c r="B564" s="84"/>
      <c r="C564" s="125"/>
      <c r="D564" s="84"/>
      <c r="E564" s="86"/>
      <c r="F564" s="86"/>
      <c r="G564" s="86"/>
      <c r="H564" s="10" t="s">
        <v>993</v>
      </c>
      <c r="I564" s="11" t="s">
        <v>29</v>
      </c>
      <c r="J564" s="11">
        <v>11.5</v>
      </c>
      <c r="K564" s="11">
        <v>11.5</v>
      </c>
      <c r="L564" s="40">
        <v>11.5</v>
      </c>
    </row>
    <row r="565" spans="1:12" ht="41.4" x14ac:dyDescent="0.25">
      <c r="A565" s="122"/>
      <c r="B565" s="84"/>
      <c r="C565" s="125"/>
      <c r="D565" s="84"/>
      <c r="E565" s="86"/>
      <c r="F565" s="86"/>
      <c r="G565" s="86"/>
      <c r="H565" s="10" t="s">
        <v>994</v>
      </c>
      <c r="I565" s="11" t="s">
        <v>29</v>
      </c>
      <c r="J565" s="11">
        <v>13</v>
      </c>
      <c r="K565" s="11">
        <v>13</v>
      </c>
      <c r="L565" s="40">
        <v>13</v>
      </c>
    </row>
    <row r="566" spans="1:12" ht="27.6" x14ac:dyDescent="0.25">
      <c r="A566" s="122"/>
      <c r="B566" s="84"/>
      <c r="C566" s="125"/>
      <c r="D566" s="84"/>
      <c r="E566" s="86"/>
      <c r="F566" s="86"/>
      <c r="G566" s="86"/>
      <c r="H566" s="10" t="s">
        <v>995</v>
      </c>
      <c r="I566" s="11" t="s">
        <v>22</v>
      </c>
      <c r="J566" s="11">
        <v>3</v>
      </c>
      <c r="K566" s="11"/>
      <c r="L566" s="40"/>
    </row>
    <row r="567" spans="1:12" ht="28.2" thickBot="1" x14ac:dyDescent="0.3">
      <c r="A567" s="123"/>
      <c r="B567" s="78"/>
      <c r="C567" s="126"/>
      <c r="D567" s="78"/>
      <c r="E567" s="87"/>
      <c r="F567" s="87"/>
      <c r="G567" s="87"/>
      <c r="H567" s="10" t="s">
        <v>996</v>
      </c>
      <c r="I567" s="11" t="s">
        <v>22</v>
      </c>
      <c r="J567" s="11">
        <v>5</v>
      </c>
      <c r="K567" s="11"/>
      <c r="L567" s="40"/>
    </row>
    <row r="568" spans="1:12" ht="27.6" x14ac:dyDescent="0.25">
      <c r="A568" s="121" t="s">
        <v>997</v>
      </c>
      <c r="B568" s="83" t="s">
        <v>998</v>
      </c>
      <c r="C568" s="124" t="s">
        <v>943</v>
      </c>
      <c r="D568" s="83" t="s">
        <v>40</v>
      </c>
      <c r="E568" s="85">
        <f>SUM(E569:E569)+38</f>
        <v>38</v>
      </c>
      <c r="F568" s="85">
        <f>SUM(F569:F569)+38</f>
        <v>38</v>
      </c>
      <c r="G568" s="85">
        <f>SUM(G569:G569)+38</f>
        <v>38</v>
      </c>
      <c r="H568" s="14" t="s">
        <v>999</v>
      </c>
      <c r="I568" s="15" t="s">
        <v>22</v>
      </c>
      <c r="J568" s="15">
        <v>2</v>
      </c>
      <c r="K568" s="15">
        <v>3</v>
      </c>
      <c r="L568" s="39">
        <v>3</v>
      </c>
    </row>
    <row r="569" spans="1:12" ht="28.2" thickBot="1" x14ac:dyDescent="0.3">
      <c r="A569" s="123"/>
      <c r="B569" s="78"/>
      <c r="C569" s="126"/>
      <c r="D569" s="78"/>
      <c r="E569" s="87"/>
      <c r="F569" s="87"/>
      <c r="G569" s="87"/>
      <c r="H569" s="10" t="s">
        <v>1000</v>
      </c>
      <c r="I569" s="11" t="s">
        <v>22</v>
      </c>
      <c r="J569" s="11">
        <v>3</v>
      </c>
      <c r="K569" s="11">
        <v>3</v>
      </c>
      <c r="L569" s="40">
        <v>3</v>
      </c>
    </row>
    <row r="570" spans="1:12" ht="30.75" customHeight="1" x14ac:dyDescent="0.25">
      <c r="A570" s="121" t="s">
        <v>1001</v>
      </c>
      <c r="B570" s="83" t="s">
        <v>1002</v>
      </c>
      <c r="C570" s="124" t="s">
        <v>1003</v>
      </c>
      <c r="D570" s="14"/>
      <c r="E570" s="31">
        <f>SUM(E571:E572)</f>
        <v>626.5</v>
      </c>
      <c r="F570" s="31">
        <f>SUM(F571:F572)</f>
        <v>313.2</v>
      </c>
      <c r="G570" s="31">
        <f>SUM(G571:G572)</f>
        <v>0</v>
      </c>
      <c r="H570" s="83" t="s">
        <v>1004</v>
      </c>
      <c r="I570" s="98" t="s">
        <v>220</v>
      </c>
      <c r="J570" s="98">
        <v>115</v>
      </c>
      <c r="K570" s="98">
        <v>115</v>
      </c>
      <c r="L570" s="99"/>
    </row>
    <row r="571" spans="1:12" x14ac:dyDescent="0.25">
      <c r="A571" s="122"/>
      <c r="B571" s="84"/>
      <c r="C571" s="125"/>
      <c r="D571" s="10" t="s">
        <v>27</v>
      </c>
      <c r="E571" s="32">
        <v>130.4</v>
      </c>
      <c r="F571" s="32">
        <v>65.2</v>
      </c>
      <c r="G571" s="32">
        <v>0</v>
      </c>
      <c r="H571" s="84"/>
      <c r="I571" s="91"/>
      <c r="J571" s="91"/>
      <c r="K571" s="91"/>
      <c r="L571" s="97"/>
    </row>
    <row r="572" spans="1:12" ht="14.4" thickBot="1" x14ac:dyDescent="0.3">
      <c r="A572" s="123"/>
      <c r="B572" s="78"/>
      <c r="C572" s="126"/>
      <c r="D572" s="10" t="s">
        <v>30</v>
      </c>
      <c r="E572" s="32">
        <v>496.1</v>
      </c>
      <c r="F572" s="32">
        <v>248</v>
      </c>
      <c r="G572" s="32">
        <v>0</v>
      </c>
      <c r="H572" s="78"/>
      <c r="I572" s="80"/>
      <c r="J572" s="80"/>
      <c r="K572" s="80"/>
      <c r="L572" s="82"/>
    </row>
    <row r="573" spans="1:12" x14ac:dyDescent="0.25">
      <c r="A573" s="121" t="s">
        <v>1005</v>
      </c>
      <c r="B573" s="83" t="s">
        <v>1006</v>
      </c>
      <c r="C573" s="124" t="s">
        <v>943</v>
      </c>
      <c r="D573" s="14"/>
      <c r="E573" s="31">
        <f>SUM(E574:E575)</f>
        <v>18.8</v>
      </c>
      <c r="F573" s="31">
        <f>SUM(F574:F575)</f>
        <v>0</v>
      </c>
      <c r="G573" s="31">
        <f>SUM(G574:G575)</f>
        <v>0</v>
      </c>
      <c r="H573" s="83" t="s">
        <v>1007</v>
      </c>
      <c r="I573" s="98" t="s">
        <v>220</v>
      </c>
      <c r="J573" s="98">
        <v>6</v>
      </c>
      <c r="K573" s="98"/>
      <c r="L573" s="99"/>
    </row>
    <row r="574" spans="1:12" x14ac:dyDescent="0.25">
      <c r="A574" s="122"/>
      <c r="B574" s="84"/>
      <c r="C574" s="125"/>
      <c r="D574" s="10" t="s">
        <v>30</v>
      </c>
      <c r="E574" s="32">
        <v>9.4</v>
      </c>
      <c r="F574" s="32">
        <v>0</v>
      </c>
      <c r="G574" s="32">
        <v>0</v>
      </c>
      <c r="H574" s="84"/>
      <c r="I574" s="91"/>
      <c r="J574" s="91"/>
      <c r="K574" s="91"/>
      <c r="L574" s="97"/>
    </row>
    <row r="575" spans="1:12" ht="14.4" thickBot="1" x14ac:dyDescent="0.3">
      <c r="A575" s="123"/>
      <c r="B575" s="78"/>
      <c r="C575" s="126"/>
      <c r="D575" s="10" t="s">
        <v>40</v>
      </c>
      <c r="E575" s="32">
        <v>9.4</v>
      </c>
      <c r="F575" s="32">
        <v>0</v>
      </c>
      <c r="G575" s="32">
        <v>0</v>
      </c>
      <c r="H575" s="78"/>
      <c r="I575" s="80"/>
      <c r="J575" s="80"/>
      <c r="K575" s="80"/>
      <c r="L575" s="82"/>
    </row>
    <row r="576" spans="1:12" ht="42" thickBot="1" x14ac:dyDescent="0.3">
      <c r="A576" s="12" t="s">
        <v>1008</v>
      </c>
      <c r="B576" s="13" t="s">
        <v>1009</v>
      </c>
      <c r="C576" s="13" t="s">
        <v>943</v>
      </c>
      <c r="D576" s="14" t="s">
        <v>40</v>
      </c>
      <c r="E576" s="33">
        <v>136.80000000000001</v>
      </c>
      <c r="F576" s="33">
        <v>95</v>
      </c>
      <c r="G576" s="33">
        <v>25.2</v>
      </c>
      <c r="H576" s="14" t="s">
        <v>1010</v>
      </c>
      <c r="I576" s="15" t="s">
        <v>269</v>
      </c>
      <c r="J576" s="15">
        <v>105</v>
      </c>
      <c r="K576" s="15">
        <v>105</v>
      </c>
      <c r="L576" s="39">
        <v>105</v>
      </c>
    </row>
    <row r="577" spans="1:12" ht="30" customHeight="1" x14ac:dyDescent="0.25">
      <c r="A577" s="127" t="s">
        <v>1011</v>
      </c>
      <c r="B577" s="129" t="s">
        <v>1012</v>
      </c>
      <c r="C577" s="130"/>
      <c r="D577" s="131"/>
      <c r="E577" s="88">
        <f>E578+E579+E580+E581+E582+E583+E588+E592+E595+E598+E599+E601+E605+E609+E612+E616+E619+E623+E627+E630+E631+E634</f>
        <v>32547</v>
      </c>
      <c r="F577" s="88">
        <f>F578+F579+F580+F581+F582+F583+F588+F592+F595+F598+F599+F601+F605+F609+F612+F616+F619+F623+F627+F630+F631+F634</f>
        <v>28081.200000000001</v>
      </c>
      <c r="G577" s="88">
        <f>G578+G579+G580+G581+G582+G583+G588+G592+G595+G598+G599+G601+G605+G609+G612+G616+G619+G623+G627+G630+G631+G634</f>
        <v>15246.099999999999</v>
      </c>
      <c r="H577" s="7" t="s">
        <v>1013</v>
      </c>
      <c r="I577" s="8" t="s">
        <v>22</v>
      </c>
      <c r="J577" s="8">
        <v>20</v>
      </c>
      <c r="K577" s="8">
        <v>21</v>
      </c>
      <c r="L577" s="43">
        <v>22</v>
      </c>
    </row>
    <row r="578" spans="1:12" x14ac:dyDescent="0.25">
      <c r="A578" s="138"/>
      <c r="B578" s="139"/>
      <c r="C578" s="140"/>
      <c r="D578" s="141"/>
      <c r="E578" s="89"/>
      <c r="F578" s="89"/>
      <c r="G578" s="89"/>
      <c r="H578" s="22" t="s">
        <v>1014</v>
      </c>
      <c r="I578" s="23" t="s">
        <v>22</v>
      </c>
      <c r="J578" s="23">
        <v>31</v>
      </c>
      <c r="K578" s="23">
        <v>31</v>
      </c>
      <c r="L578" s="38">
        <v>32</v>
      </c>
    </row>
    <row r="579" spans="1:12" ht="27.6" x14ac:dyDescent="0.25">
      <c r="A579" s="138"/>
      <c r="B579" s="139"/>
      <c r="C579" s="140"/>
      <c r="D579" s="141"/>
      <c r="E579" s="89"/>
      <c r="F579" s="89"/>
      <c r="G579" s="89"/>
      <c r="H579" s="22" t="s">
        <v>1015</v>
      </c>
      <c r="I579" s="23" t="s">
        <v>22</v>
      </c>
      <c r="J579" s="23">
        <v>16</v>
      </c>
      <c r="K579" s="23">
        <v>17</v>
      </c>
      <c r="L579" s="38">
        <v>18</v>
      </c>
    </row>
    <row r="580" spans="1:12" x14ac:dyDescent="0.25">
      <c r="A580" s="138"/>
      <c r="B580" s="139"/>
      <c r="C580" s="140"/>
      <c r="D580" s="141"/>
      <c r="E580" s="89"/>
      <c r="F580" s="89"/>
      <c r="G580" s="89"/>
      <c r="H580" s="22" t="s">
        <v>1016</v>
      </c>
      <c r="I580" s="23" t="s">
        <v>22</v>
      </c>
      <c r="J580" s="23">
        <v>30</v>
      </c>
      <c r="K580" s="23">
        <v>30</v>
      </c>
      <c r="L580" s="38">
        <v>30</v>
      </c>
    </row>
    <row r="581" spans="1:12" ht="27.6" x14ac:dyDescent="0.25">
      <c r="A581" s="138"/>
      <c r="B581" s="139"/>
      <c r="C581" s="140"/>
      <c r="D581" s="141"/>
      <c r="E581" s="89"/>
      <c r="F581" s="89"/>
      <c r="G581" s="89"/>
      <c r="H581" s="22" t="s">
        <v>1017</v>
      </c>
      <c r="I581" s="23" t="s">
        <v>22</v>
      </c>
      <c r="J581" s="23">
        <v>2</v>
      </c>
      <c r="K581" s="23">
        <v>3</v>
      </c>
      <c r="L581" s="38">
        <v>3</v>
      </c>
    </row>
    <row r="582" spans="1:12" ht="14.4" thickBot="1" x14ac:dyDescent="0.3">
      <c r="A582" s="128"/>
      <c r="B582" s="132"/>
      <c r="C582" s="133"/>
      <c r="D582" s="134"/>
      <c r="E582" s="90"/>
      <c r="F582" s="90"/>
      <c r="G582" s="90"/>
      <c r="H582" s="22" t="s">
        <v>1018</v>
      </c>
      <c r="I582" s="23" t="s">
        <v>22</v>
      </c>
      <c r="J582" s="23">
        <v>9</v>
      </c>
      <c r="K582" s="23">
        <v>9</v>
      </c>
      <c r="L582" s="38">
        <v>9</v>
      </c>
    </row>
    <row r="583" spans="1:12" ht="45" customHeight="1" x14ac:dyDescent="0.25">
      <c r="A583" s="121" t="s">
        <v>1019</v>
      </c>
      <c r="B583" s="83" t="s">
        <v>1020</v>
      </c>
      <c r="C583" s="124" t="s">
        <v>1021</v>
      </c>
      <c r="D583" s="83" t="s">
        <v>40</v>
      </c>
      <c r="E583" s="85">
        <f>SUM(E584:E587)+5200</f>
        <v>5200</v>
      </c>
      <c r="F583" s="85">
        <f>SUM(F584:F587)+4000</f>
        <v>4000</v>
      </c>
      <c r="G583" s="85">
        <f>SUM(G584:G587)+4000</f>
        <v>4000</v>
      </c>
      <c r="H583" s="14" t="s">
        <v>1022</v>
      </c>
      <c r="I583" s="15" t="s">
        <v>22</v>
      </c>
      <c r="J583" s="15">
        <v>1</v>
      </c>
      <c r="K583" s="15">
        <v>1</v>
      </c>
      <c r="L583" s="39">
        <v>1</v>
      </c>
    </row>
    <row r="584" spans="1:12" ht="69" x14ac:dyDescent="0.25">
      <c r="A584" s="122"/>
      <c r="B584" s="84"/>
      <c r="C584" s="125"/>
      <c r="D584" s="84"/>
      <c r="E584" s="86"/>
      <c r="F584" s="86"/>
      <c r="G584" s="86"/>
      <c r="H584" s="10" t="s">
        <v>1023</v>
      </c>
      <c r="I584" s="11" t="s">
        <v>22</v>
      </c>
      <c r="J584" s="11">
        <v>2</v>
      </c>
      <c r="K584" s="11">
        <v>2</v>
      </c>
      <c r="L584" s="40">
        <v>2</v>
      </c>
    </row>
    <row r="585" spans="1:12" ht="69" x14ac:dyDescent="0.25">
      <c r="A585" s="122"/>
      <c r="B585" s="84"/>
      <c r="C585" s="125"/>
      <c r="D585" s="84"/>
      <c r="E585" s="86"/>
      <c r="F585" s="86"/>
      <c r="G585" s="86"/>
      <c r="H585" s="10" t="s">
        <v>1024</v>
      </c>
      <c r="I585" s="11" t="s">
        <v>22</v>
      </c>
      <c r="J585" s="11">
        <v>5</v>
      </c>
      <c r="K585" s="11">
        <v>2</v>
      </c>
      <c r="L585" s="40">
        <v>1</v>
      </c>
    </row>
    <row r="586" spans="1:12" ht="55.2" x14ac:dyDescent="0.25">
      <c r="A586" s="122"/>
      <c r="B586" s="84"/>
      <c r="C586" s="125"/>
      <c r="D586" s="84"/>
      <c r="E586" s="86"/>
      <c r="F586" s="86"/>
      <c r="G586" s="86"/>
      <c r="H586" s="10" t="s">
        <v>1025</v>
      </c>
      <c r="I586" s="11" t="s">
        <v>22</v>
      </c>
      <c r="J586" s="11">
        <v>3</v>
      </c>
      <c r="K586" s="11">
        <v>2</v>
      </c>
      <c r="L586" s="40">
        <v>1</v>
      </c>
    </row>
    <row r="587" spans="1:12" ht="42" thickBot="1" x14ac:dyDescent="0.3">
      <c r="A587" s="123"/>
      <c r="B587" s="78"/>
      <c r="C587" s="126"/>
      <c r="D587" s="78"/>
      <c r="E587" s="87"/>
      <c r="F587" s="87"/>
      <c r="G587" s="87"/>
      <c r="H587" s="10" t="s">
        <v>1026</v>
      </c>
      <c r="I587" s="11" t="s">
        <v>22</v>
      </c>
      <c r="J587" s="11">
        <v>1</v>
      </c>
      <c r="K587" s="11">
        <v>1</v>
      </c>
      <c r="L587" s="40">
        <v>1</v>
      </c>
    </row>
    <row r="588" spans="1:12" ht="78" customHeight="1" x14ac:dyDescent="0.25">
      <c r="A588" s="121" t="s">
        <v>1027</v>
      </c>
      <c r="B588" s="83" t="s">
        <v>1028</v>
      </c>
      <c r="C588" s="124" t="s">
        <v>1029</v>
      </c>
      <c r="D588" s="83" t="s">
        <v>40</v>
      </c>
      <c r="E588" s="85">
        <f>SUM(E589:E591)+891</f>
        <v>891</v>
      </c>
      <c r="F588" s="85">
        <f>SUM(F589:F591)+1471</f>
        <v>1471</v>
      </c>
      <c r="G588" s="85">
        <f>SUM(G589:G591)+1471</f>
        <v>1471</v>
      </c>
      <c r="H588" s="14" t="s">
        <v>1030</v>
      </c>
      <c r="I588" s="15" t="s">
        <v>22</v>
      </c>
      <c r="J588" s="15">
        <v>6</v>
      </c>
      <c r="K588" s="15">
        <v>6</v>
      </c>
      <c r="L588" s="39">
        <v>6</v>
      </c>
    </row>
    <row r="589" spans="1:12" ht="41.4" x14ac:dyDescent="0.25">
      <c r="A589" s="122"/>
      <c r="B589" s="84"/>
      <c r="C589" s="125"/>
      <c r="D589" s="84"/>
      <c r="E589" s="86"/>
      <c r="F589" s="86"/>
      <c r="G589" s="86"/>
      <c r="H589" s="10" t="s">
        <v>1031</v>
      </c>
      <c r="I589" s="11" t="s">
        <v>22</v>
      </c>
      <c r="J589" s="11"/>
      <c r="K589" s="11">
        <v>3</v>
      </c>
      <c r="L589" s="40">
        <v>3</v>
      </c>
    </row>
    <row r="590" spans="1:12" ht="27.6" x14ac:dyDescent="0.25">
      <c r="A590" s="122"/>
      <c r="B590" s="84"/>
      <c r="C590" s="125"/>
      <c r="D590" s="84"/>
      <c r="E590" s="86"/>
      <c r="F590" s="86"/>
      <c r="G590" s="86"/>
      <c r="H590" s="10" t="s">
        <v>1032</v>
      </c>
      <c r="I590" s="11" t="s">
        <v>22</v>
      </c>
      <c r="J590" s="11"/>
      <c r="K590" s="11">
        <v>1</v>
      </c>
      <c r="L590" s="40">
        <v>1</v>
      </c>
    </row>
    <row r="591" spans="1:12" ht="42" thickBot="1" x14ac:dyDescent="0.3">
      <c r="A591" s="123"/>
      <c r="B591" s="78"/>
      <c r="C591" s="126"/>
      <c r="D591" s="78"/>
      <c r="E591" s="87"/>
      <c r="F591" s="87"/>
      <c r="G591" s="87"/>
      <c r="H591" s="10" t="s">
        <v>1033</v>
      </c>
      <c r="I591" s="11" t="s">
        <v>22</v>
      </c>
      <c r="J591" s="11"/>
      <c r="K591" s="11">
        <v>2</v>
      </c>
      <c r="L591" s="40">
        <v>1</v>
      </c>
    </row>
    <row r="592" spans="1:12" ht="27.6" x14ac:dyDescent="0.25">
      <c r="A592" s="121" t="s">
        <v>1034</v>
      </c>
      <c r="B592" s="83" t="s">
        <v>1035</v>
      </c>
      <c r="C592" s="124" t="s">
        <v>1021</v>
      </c>
      <c r="D592" s="83" t="s">
        <v>40</v>
      </c>
      <c r="E592" s="85">
        <f>SUM(E593:E594)+1600</f>
        <v>1600</v>
      </c>
      <c r="F592" s="85">
        <f>SUM(F593:F594)+1600</f>
        <v>1600</v>
      </c>
      <c r="G592" s="85">
        <f>SUM(G593:G594)+1600</f>
        <v>1600</v>
      </c>
      <c r="H592" s="14" t="s">
        <v>1036</v>
      </c>
      <c r="I592" s="15" t="s">
        <v>29</v>
      </c>
      <c r="J592" s="15">
        <v>10</v>
      </c>
      <c r="K592" s="15">
        <v>100</v>
      </c>
      <c r="L592" s="39"/>
    </row>
    <row r="593" spans="1:12" ht="41.4" x14ac:dyDescent="0.25">
      <c r="A593" s="122"/>
      <c r="B593" s="84"/>
      <c r="C593" s="125"/>
      <c r="D593" s="84"/>
      <c r="E593" s="86"/>
      <c r="F593" s="86"/>
      <c r="G593" s="86"/>
      <c r="H593" s="10" t="s">
        <v>1037</v>
      </c>
      <c r="I593" s="11" t="s">
        <v>22</v>
      </c>
      <c r="J593" s="11">
        <v>2</v>
      </c>
      <c r="K593" s="11"/>
      <c r="L593" s="40"/>
    </row>
    <row r="594" spans="1:12" ht="29.25" customHeight="1" thickBot="1" x14ac:dyDescent="0.3">
      <c r="A594" s="123"/>
      <c r="B594" s="78"/>
      <c r="C594" s="126"/>
      <c r="D594" s="78"/>
      <c r="E594" s="87"/>
      <c r="F594" s="87"/>
      <c r="G594" s="87"/>
      <c r="H594" s="10" t="s">
        <v>1038</v>
      </c>
      <c r="I594" s="11" t="s">
        <v>29</v>
      </c>
      <c r="J594" s="11"/>
      <c r="K594" s="11">
        <v>50</v>
      </c>
      <c r="L594" s="40">
        <v>100</v>
      </c>
    </row>
    <row r="595" spans="1:12" ht="63" customHeight="1" x14ac:dyDescent="0.25">
      <c r="A595" s="121" t="s">
        <v>1039</v>
      </c>
      <c r="B595" s="83" t="s">
        <v>1040</v>
      </c>
      <c r="C595" s="124" t="s">
        <v>1021</v>
      </c>
      <c r="D595" s="83" t="s">
        <v>40</v>
      </c>
      <c r="E595" s="85">
        <f>SUM(E596:E597)+900</f>
        <v>900</v>
      </c>
      <c r="F595" s="85">
        <f>SUM(F596:F597)+900</f>
        <v>900</v>
      </c>
      <c r="G595" s="85">
        <f>SUM(G596:G597)+900</f>
        <v>900</v>
      </c>
      <c r="H595" s="14" t="s">
        <v>1041</v>
      </c>
      <c r="I595" s="15" t="s">
        <v>22</v>
      </c>
      <c r="J595" s="15">
        <v>6</v>
      </c>
      <c r="K595" s="15">
        <v>4</v>
      </c>
      <c r="L595" s="39">
        <v>4</v>
      </c>
    </row>
    <row r="596" spans="1:12" ht="27.6" x14ac:dyDescent="0.25">
      <c r="A596" s="122"/>
      <c r="B596" s="84"/>
      <c r="C596" s="125"/>
      <c r="D596" s="84"/>
      <c r="E596" s="86"/>
      <c r="F596" s="86"/>
      <c r="G596" s="86"/>
      <c r="H596" s="10" t="s">
        <v>1042</v>
      </c>
      <c r="I596" s="11" t="s">
        <v>22</v>
      </c>
      <c r="J596" s="11">
        <v>3</v>
      </c>
      <c r="K596" s="11"/>
      <c r="L596" s="40"/>
    </row>
    <row r="597" spans="1:12" ht="55.8" thickBot="1" x14ac:dyDescent="0.3">
      <c r="A597" s="123"/>
      <c r="B597" s="78"/>
      <c r="C597" s="126"/>
      <c r="D597" s="78"/>
      <c r="E597" s="87"/>
      <c r="F597" s="87"/>
      <c r="G597" s="87"/>
      <c r="H597" s="10" t="s">
        <v>1043</v>
      </c>
      <c r="I597" s="11" t="s">
        <v>22</v>
      </c>
      <c r="J597" s="11">
        <v>9</v>
      </c>
      <c r="K597" s="11">
        <v>14</v>
      </c>
      <c r="L597" s="40">
        <v>14</v>
      </c>
    </row>
    <row r="598" spans="1:12" ht="42" customHeight="1" thickBot="1" x14ac:dyDescent="0.3">
      <c r="A598" s="12" t="s">
        <v>1044</v>
      </c>
      <c r="B598" s="13" t="s">
        <v>1045</v>
      </c>
      <c r="C598" s="13" t="s">
        <v>943</v>
      </c>
      <c r="D598" s="14" t="s">
        <v>40</v>
      </c>
      <c r="E598" s="33">
        <v>100</v>
      </c>
      <c r="F598" s="33">
        <v>100</v>
      </c>
      <c r="G598" s="33">
        <v>100</v>
      </c>
      <c r="H598" s="14" t="s">
        <v>1046</v>
      </c>
      <c r="I598" s="15" t="s">
        <v>29</v>
      </c>
      <c r="J598" s="15">
        <v>100</v>
      </c>
      <c r="K598" s="15">
        <v>100</v>
      </c>
      <c r="L598" s="39">
        <v>100</v>
      </c>
    </row>
    <row r="599" spans="1:12" ht="31.5" customHeight="1" x14ac:dyDescent="0.25">
      <c r="A599" s="121" t="s">
        <v>1047</v>
      </c>
      <c r="B599" s="83" t="s">
        <v>1048</v>
      </c>
      <c r="C599" s="124" t="s">
        <v>1049</v>
      </c>
      <c r="D599" s="83" t="s">
        <v>40</v>
      </c>
      <c r="E599" s="85">
        <f>SUM(E600:E600)+2150</f>
        <v>2150</v>
      </c>
      <c r="F599" s="85">
        <f>SUM(F600:F600)+2150</f>
        <v>2150</v>
      </c>
      <c r="G599" s="85">
        <f>SUM(G600:G600)</f>
        <v>0</v>
      </c>
      <c r="H599" s="14" t="s">
        <v>1050</v>
      </c>
      <c r="I599" s="15" t="s">
        <v>29</v>
      </c>
      <c r="J599" s="15">
        <v>48</v>
      </c>
      <c r="K599" s="15">
        <v>100</v>
      </c>
      <c r="L599" s="39"/>
    </row>
    <row r="600" spans="1:12" ht="29.25" customHeight="1" thickBot="1" x14ac:dyDescent="0.3">
      <c r="A600" s="123"/>
      <c r="B600" s="78"/>
      <c r="C600" s="126"/>
      <c r="D600" s="78"/>
      <c r="E600" s="87"/>
      <c r="F600" s="87"/>
      <c r="G600" s="87"/>
      <c r="H600" s="10" t="s">
        <v>1051</v>
      </c>
      <c r="I600" s="11" t="s">
        <v>29</v>
      </c>
      <c r="J600" s="11">
        <v>100</v>
      </c>
      <c r="K600" s="11"/>
      <c r="L600" s="40"/>
    </row>
    <row r="601" spans="1:12" ht="48.75" customHeight="1" x14ac:dyDescent="0.25">
      <c r="A601" s="121" t="s">
        <v>1052</v>
      </c>
      <c r="B601" s="83" t="s">
        <v>1053</v>
      </c>
      <c r="C601" s="124" t="s">
        <v>1054</v>
      </c>
      <c r="D601" s="14"/>
      <c r="E601" s="31">
        <f>SUM(E602:E604)</f>
        <v>4463.8999999999996</v>
      </c>
      <c r="F601" s="31">
        <f>SUM(F602:F604)</f>
        <v>4230.3</v>
      </c>
      <c r="G601" s="31">
        <f>SUM(G602:G604)</f>
        <v>1847.3</v>
      </c>
      <c r="H601" s="14" t="s">
        <v>587</v>
      </c>
      <c r="I601" s="15" t="s">
        <v>29</v>
      </c>
      <c r="J601" s="15">
        <v>40</v>
      </c>
      <c r="K601" s="15">
        <v>80</v>
      </c>
      <c r="L601" s="39">
        <v>100</v>
      </c>
    </row>
    <row r="602" spans="1:12" x14ac:dyDescent="0.25">
      <c r="A602" s="122"/>
      <c r="B602" s="84"/>
      <c r="C602" s="125"/>
      <c r="D602" s="10" t="s">
        <v>40</v>
      </c>
      <c r="E602" s="32">
        <v>700</v>
      </c>
      <c r="F602" s="32">
        <v>203.9</v>
      </c>
      <c r="G602" s="32">
        <v>350</v>
      </c>
      <c r="H602" s="77" t="s">
        <v>1055</v>
      </c>
      <c r="I602" s="79" t="s">
        <v>29</v>
      </c>
      <c r="J602" s="79"/>
      <c r="K602" s="79">
        <v>80</v>
      </c>
      <c r="L602" s="81">
        <v>100</v>
      </c>
    </row>
    <row r="603" spans="1:12" x14ac:dyDescent="0.25">
      <c r="A603" s="122"/>
      <c r="B603" s="84"/>
      <c r="C603" s="125"/>
      <c r="D603" s="10" t="s">
        <v>27</v>
      </c>
      <c r="E603" s="32">
        <v>653.29999999999995</v>
      </c>
      <c r="F603" s="32">
        <v>698.8</v>
      </c>
      <c r="G603" s="32">
        <v>259.8</v>
      </c>
      <c r="H603" s="84"/>
      <c r="I603" s="91"/>
      <c r="J603" s="91"/>
      <c r="K603" s="91"/>
      <c r="L603" s="97"/>
    </row>
    <row r="604" spans="1:12" ht="14.4" thickBot="1" x14ac:dyDescent="0.3">
      <c r="A604" s="123"/>
      <c r="B604" s="78"/>
      <c r="C604" s="126"/>
      <c r="D604" s="10" t="s">
        <v>30</v>
      </c>
      <c r="E604" s="32">
        <v>3110.6</v>
      </c>
      <c r="F604" s="32">
        <v>3327.6</v>
      </c>
      <c r="G604" s="32">
        <v>1237.5</v>
      </c>
      <c r="H604" s="78"/>
      <c r="I604" s="80"/>
      <c r="J604" s="80"/>
      <c r="K604" s="80"/>
      <c r="L604" s="82"/>
    </row>
    <row r="605" spans="1:12" x14ac:dyDescent="0.25">
      <c r="A605" s="121" t="s">
        <v>1056</v>
      </c>
      <c r="B605" s="83" t="s">
        <v>1057</v>
      </c>
      <c r="C605" s="124" t="s">
        <v>1049</v>
      </c>
      <c r="D605" s="14"/>
      <c r="E605" s="31">
        <f>SUM(E606:E608)</f>
        <v>650</v>
      </c>
      <c r="F605" s="31">
        <f>SUM(F606:F608)</f>
        <v>0</v>
      </c>
      <c r="G605" s="31">
        <f>SUM(G606:G608)</f>
        <v>0</v>
      </c>
      <c r="H605" s="14" t="s">
        <v>587</v>
      </c>
      <c r="I605" s="15" t="s">
        <v>29</v>
      </c>
      <c r="J605" s="15">
        <v>100</v>
      </c>
      <c r="K605" s="15"/>
      <c r="L605" s="39"/>
    </row>
    <row r="606" spans="1:12" ht="27.6" x14ac:dyDescent="0.25">
      <c r="A606" s="122"/>
      <c r="B606" s="84"/>
      <c r="C606" s="125"/>
      <c r="D606" s="10" t="s">
        <v>30</v>
      </c>
      <c r="E606" s="32">
        <v>500</v>
      </c>
      <c r="F606" s="32">
        <v>0</v>
      </c>
      <c r="G606" s="32">
        <v>0</v>
      </c>
      <c r="H606" s="10" t="s">
        <v>1058</v>
      </c>
      <c r="I606" s="11" t="s">
        <v>29</v>
      </c>
      <c r="J606" s="11">
        <v>41</v>
      </c>
      <c r="K606" s="11"/>
      <c r="L606" s="40"/>
    </row>
    <row r="607" spans="1:12" x14ac:dyDescent="0.25">
      <c r="A607" s="122"/>
      <c r="B607" s="84"/>
      <c r="C607" s="125"/>
      <c r="D607" s="77" t="s">
        <v>40</v>
      </c>
      <c r="E607" s="108">
        <v>150</v>
      </c>
      <c r="F607" s="108">
        <v>0</v>
      </c>
      <c r="G607" s="108">
        <v>0</v>
      </c>
      <c r="H607" s="10" t="s">
        <v>1059</v>
      </c>
      <c r="I607" s="11" t="s">
        <v>346</v>
      </c>
      <c r="J607" s="11">
        <v>10</v>
      </c>
      <c r="K607" s="11"/>
      <c r="L607" s="40"/>
    </row>
    <row r="608" spans="1:12" ht="14.4" thickBot="1" x14ac:dyDescent="0.3">
      <c r="A608" s="123"/>
      <c r="B608" s="78"/>
      <c r="C608" s="126"/>
      <c r="D608" s="78"/>
      <c r="E608" s="110"/>
      <c r="F608" s="110"/>
      <c r="G608" s="110"/>
      <c r="H608" s="10" t="s">
        <v>1060</v>
      </c>
      <c r="I608" s="11" t="s">
        <v>220</v>
      </c>
      <c r="J608" s="11">
        <v>10</v>
      </c>
      <c r="K608" s="11"/>
      <c r="L608" s="40"/>
    </row>
    <row r="609" spans="1:12" x14ac:dyDescent="0.25">
      <c r="A609" s="121" t="s">
        <v>1061</v>
      </c>
      <c r="B609" s="83" t="s">
        <v>1062</v>
      </c>
      <c r="C609" s="124" t="s">
        <v>1049</v>
      </c>
      <c r="D609" s="14"/>
      <c r="E609" s="31">
        <f>SUM(E610:E611)</f>
        <v>2070</v>
      </c>
      <c r="F609" s="31">
        <f>SUM(F610:F611)</f>
        <v>2522</v>
      </c>
      <c r="G609" s="31">
        <f>SUM(G610:G611)</f>
        <v>500</v>
      </c>
      <c r="H609" s="14" t="s">
        <v>587</v>
      </c>
      <c r="I609" s="15" t="s">
        <v>29</v>
      </c>
      <c r="J609" s="15">
        <v>40</v>
      </c>
      <c r="K609" s="15">
        <v>100</v>
      </c>
      <c r="L609" s="39"/>
    </row>
    <row r="610" spans="1:12" x14ac:dyDescent="0.25">
      <c r="A610" s="122"/>
      <c r="B610" s="84"/>
      <c r="C610" s="125"/>
      <c r="D610" s="10" t="s">
        <v>30</v>
      </c>
      <c r="E610" s="32">
        <v>1500</v>
      </c>
      <c r="F610" s="32">
        <v>600</v>
      </c>
      <c r="G610" s="32">
        <v>0</v>
      </c>
      <c r="H610" s="10" t="s">
        <v>1059</v>
      </c>
      <c r="I610" s="11" t="s">
        <v>346</v>
      </c>
      <c r="J610" s="11"/>
      <c r="K610" s="11">
        <v>1</v>
      </c>
      <c r="L610" s="40"/>
    </row>
    <row r="611" spans="1:12" ht="14.4" thickBot="1" x14ac:dyDescent="0.3">
      <c r="A611" s="123"/>
      <c r="B611" s="78"/>
      <c r="C611" s="126"/>
      <c r="D611" s="10" t="s">
        <v>40</v>
      </c>
      <c r="E611" s="32">
        <v>570</v>
      </c>
      <c r="F611" s="32">
        <v>1922</v>
      </c>
      <c r="G611" s="32">
        <v>500</v>
      </c>
      <c r="H611" s="10" t="s">
        <v>1063</v>
      </c>
      <c r="I611" s="11" t="s">
        <v>22</v>
      </c>
      <c r="J611" s="11"/>
      <c r="K611" s="11"/>
      <c r="L611" s="40">
        <v>90</v>
      </c>
    </row>
    <row r="612" spans="1:12" ht="59.25" customHeight="1" x14ac:dyDescent="0.25">
      <c r="A612" s="121" t="s">
        <v>1064</v>
      </c>
      <c r="B612" s="83" t="s">
        <v>1065</v>
      </c>
      <c r="C612" s="124" t="s">
        <v>1066</v>
      </c>
      <c r="D612" s="14"/>
      <c r="E612" s="31">
        <f>SUM(E613:E615)</f>
        <v>2762.3</v>
      </c>
      <c r="F612" s="31">
        <f>SUM(F613:F615)</f>
        <v>0</v>
      </c>
      <c r="G612" s="31">
        <f>SUM(G613:G615)</f>
        <v>0</v>
      </c>
      <c r="H612" s="14" t="s">
        <v>1067</v>
      </c>
      <c r="I612" s="15" t="s">
        <v>22</v>
      </c>
      <c r="J612" s="15">
        <v>2</v>
      </c>
      <c r="K612" s="15"/>
      <c r="L612" s="39"/>
    </row>
    <row r="613" spans="1:12" ht="30" customHeight="1" x14ac:dyDescent="0.25">
      <c r="A613" s="122"/>
      <c r="B613" s="84"/>
      <c r="C613" s="125"/>
      <c r="D613" s="10" t="s">
        <v>40</v>
      </c>
      <c r="E613" s="32">
        <v>250</v>
      </c>
      <c r="F613" s="32">
        <v>0</v>
      </c>
      <c r="G613" s="32">
        <v>0</v>
      </c>
      <c r="H613" s="77" t="s">
        <v>1068</v>
      </c>
      <c r="I613" s="79" t="s">
        <v>346</v>
      </c>
      <c r="J613" s="79">
        <v>2</v>
      </c>
      <c r="K613" s="79"/>
      <c r="L613" s="81"/>
    </row>
    <row r="614" spans="1:12" x14ac:dyDescent="0.25">
      <c r="A614" s="122"/>
      <c r="B614" s="84"/>
      <c r="C614" s="125"/>
      <c r="D614" s="10" t="s">
        <v>27</v>
      </c>
      <c r="E614" s="32">
        <v>800</v>
      </c>
      <c r="F614" s="32"/>
      <c r="G614" s="32"/>
      <c r="H614" s="84"/>
      <c r="I614" s="91"/>
      <c r="J614" s="91"/>
      <c r="K614" s="91"/>
      <c r="L614" s="97"/>
    </row>
    <row r="615" spans="1:12" ht="14.4" thickBot="1" x14ac:dyDescent="0.3">
      <c r="A615" s="123"/>
      <c r="B615" s="78"/>
      <c r="C615" s="126"/>
      <c r="D615" s="10" t="s">
        <v>30</v>
      </c>
      <c r="E615" s="32">
        <v>1712.3</v>
      </c>
      <c r="F615" s="32"/>
      <c r="G615" s="32"/>
      <c r="H615" s="78"/>
      <c r="I615" s="80"/>
      <c r="J615" s="80"/>
      <c r="K615" s="80"/>
      <c r="L615" s="82"/>
    </row>
    <row r="616" spans="1:12" ht="32.25" customHeight="1" x14ac:dyDescent="0.25">
      <c r="A616" s="121" t="s">
        <v>1069</v>
      </c>
      <c r="B616" s="83" t="s">
        <v>1070</v>
      </c>
      <c r="C616" s="124" t="s">
        <v>1049</v>
      </c>
      <c r="D616" s="14"/>
      <c r="E616" s="31">
        <f>SUM(E617:E618)</f>
        <v>1920.8</v>
      </c>
      <c r="F616" s="31">
        <f>SUM(F617:F618)</f>
        <v>1843.8</v>
      </c>
      <c r="G616" s="31">
        <f>SUM(G617:G618)</f>
        <v>0</v>
      </c>
      <c r="H616" s="14" t="s">
        <v>330</v>
      </c>
      <c r="I616" s="15" t="s">
        <v>22</v>
      </c>
      <c r="J616" s="15">
        <v>1</v>
      </c>
      <c r="K616" s="15"/>
      <c r="L616" s="39"/>
    </row>
    <row r="617" spans="1:12" ht="23.25" customHeight="1" x14ac:dyDescent="0.25">
      <c r="A617" s="122"/>
      <c r="B617" s="84"/>
      <c r="C617" s="125"/>
      <c r="D617" s="10" t="s">
        <v>30</v>
      </c>
      <c r="E617" s="32">
        <v>1400</v>
      </c>
      <c r="F617" s="32">
        <v>1522.5</v>
      </c>
      <c r="G617" s="32">
        <v>0</v>
      </c>
      <c r="H617" s="10" t="s">
        <v>587</v>
      </c>
      <c r="I617" s="11" t="s">
        <v>29</v>
      </c>
      <c r="J617" s="11">
        <v>45</v>
      </c>
      <c r="K617" s="11">
        <v>100</v>
      </c>
      <c r="L617" s="40"/>
    </row>
    <row r="618" spans="1:12" ht="22.5" customHeight="1" thickBot="1" x14ac:dyDescent="0.3">
      <c r="A618" s="123"/>
      <c r="B618" s="78"/>
      <c r="C618" s="126"/>
      <c r="D618" s="10" t="s">
        <v>40</v>
      </c>
      <c r="E618" s="32">
        <v>520.79999999999995</v>
      </c>
      <c r="F618" s="32">
        <v>321.3</v>
      </c>
      <c r="G618" s="32">
        <v>0</v>
      </c>
      <c r="H618" s="10" t="s">
        <v>1059</v>
      </c>
      <c r="I618" s="11" t="s">
        <v>346</v>
      </c>
      <c r="J618" s="11"/>
      <c r="K618" s="11">
        <v>1</v>
      </c>
      <c r="L618" s="40"/>
    </row>
    <row r="619" spans="1:12" ht="30.75" customHeight="1" x14ac:dyDescent="0.25">
      <c r="A619" s="121" t="s">
        <v>1071</v>
      </c>
      <c r="B619" s="83" t="s">
        <v>1072</v>
      </c>
      <c r="C619" s="124" t="s">
        <v>1049</v>
      </c>
      <c r="D619" s="14"/>
      <c r="E619" s="31">
        <f>SUM(E620:E622)</f>
        <v>2068.3000000000002</v>
      </c>
      <c r="F619" s="31">
        <f>SUM(F620:F622)</f>
        <v>2415.5</v>
      </c>
      <c r="G619" s="31">
        <f>SUM(G620:G622)</f>
        <v>1210</v>
      </c>
      <c r="H619" s="14" t="s">
        <v>330</v>
      </c>
      <c r="I619" s="15" t="s">
        <v>22</v>
      </c>
      <c r="J619" s="15">
        <v>1</v>
      </c>
      <c r="K619" s="15"/>
      <c r="L619" s="39"/>
    </row>
    <row r="620" spans="1:12" x14ac:dyDescent="0.25">
      <c r="A620" s="122"/>
      <c r="B620" s="84"/>
      <c r="C620" s="125"/>
      <c r="D620" s="10" t="s">
        <v>27</v>
      </c>
      <c r="E620" s="32">
        <v>280</v>
      </c>
      <c r="F620" s="32">
        <v>323</v>
      </c>
      <c r="G620" s="32">
        <v>210</v>
      </c>
      <c r="H620" s="10" t="s">
        <v>587</v>
      </c>
      <c r="I620" s="11" t="s">
        <v>29</v>
      </c>
      <c r="J620" s="11">
        <v>45</v>
      </c>
      <c r="K620" s="11">
        <v>90</v>
      </c>
      <c r="L620" s="40">
        <v>100</v>
      </c>
    </row>
    <row r="621" spans="1:12" x14ac:dyDescent="0.25">
      <c r="A621" s="122"/>
      <c r="B621" s="84"/>
      <c r="C621" s="125"/>
      <c r="D621" s="10" t="s">
        <v>30</v>
      </c>
      <c r="E621" s="32">
        <v>1332.5</v>
      </c>
      <c r="F621" s="32">
        <v>1542.5</v>
      </c>
      <c r="G621" s="32">
        <v>1000</v>
      </c>
      <c r="H621" s="77" t="s">
        <v>1059</v>
      </c>
      <c r="I621" s="79" t="s">
        <v>346</v>
      </c>
      <c r="J621" s="79"/>
      <c r="K621" s="79"/>
      <c r="L621" s="81">
        <v>1</v>
      </c>
    </row>
    <row r="622" spans="1:12" ht="14.4" thickBot="1" x14ac:dyDescent="0.3">
      <c r="A622" s="123"/>
      <c r="B622" s="78"/>
      <c r="C622" s="126"/>
      <c r="D622" s="10" t="s">
        <v>40</v>
      </c>
      <c r="E622" s="32">
        <v>455.8</v>
      </c>
      <c r="F622" s="32">
        <v>550</v>
      </c>
      <c r="G622" s="32"/>
      <c r="H622" s="78"/>
      <c r="I622" s="80"/>
      <c r="J622" s="80"/>
      <c r="K622" s="80"/>
      <c r="L622" s="82"/>
    </row>
    <row r="623" spans="1:12" ht="30.75" customHeight="1" x14ac:dyDescent="0.25">
      <c r="A623" s="121" t="s">
        <v>1073</v>
      </c>
      <c r="B623" s="83" t="s">
        <v>1074</v>
      </c>
      <c r="C623" s="124" t="s">
        <v>1049</v>
      </c>
      <c r="D623" s="14"/>
      <c r="E623" s="31">
        <f>SUM(E624:E626)</f>
        <v>1552</v>
      </c>
      <c r="F623" s="31">
        <f>SUM(F624:F626)</f>
        <v>3478</v>
      </c>
      <c r="G623" s="31">
        <f>SUM(G624:G626)</f>
        <v>601.5</v>
      </c>
      <c r="H623" s="14" t="s">
        <v>587</v>
      </c>
      <c r="I623" s="15" t="s">
        <v>29</v>
      </c>
      <c r="J623" s="15">
        <v>40</v>
      </c>
      <c r="K623" s="15">
        <v>90</v>
      </c>
      <c r="L623" s="39">
        <v>100</v>
      </c>
    </row>
    <row r="624" spans="1:12" x14ac:dyDescent="0.25">
      <c r="A624" s="122"/>
      <c r="B624" s="84"/>
      <c r="C624" s="125"/>
      <c r="D624" s="10" t="s">
        <v>520</v>
      </c>
      <c r="E624" s="32">
        <v>0</v>
      </c>
      <c r="F624" s="32">
        <v>2000</v>
      </c>
      <c r="G624" s="32">
        <v>0</v>
      </c>
      <c r="H624" s="77" t="s">
        <v>1059</v>
      </c>
      <c r="I624" s="79" t="s">
        <v>346</v>
      </c>
      <c r="J624" s="79"/>
      <c r="K624" s="79">
        <v>1</v>
      </c>
      <c r="L624" s="81"/>
    </row>
    <row r="625" spans="1:12" x14ac:dyDescent="0.25">
      <c r="A625" s="122"/>
      <c r="B625" s="84"/>
      <c r="C625" s="125"/>
      <c r="D625" s="10" t="s">
        <v>30</v>
      </c>
      <c r="E625" s="32">
        <v>1100</v>
      </c>
      <c r="F625" s="32">
        <v>1424.7</v>
      </c>
      <c r="G625" s="32">
        <v>84.2</v>
      </c>
      <c r="H625" s="84"/>
      <c r="I625" s="91"/>
      <c r="J625" s="91"/>
      <c r="K625" s="91"/>
      <c r="L625" s="97"/>
    </row>
    <row r="626" spans="1:12" ht="14.4" thickBot="1" x14ac:dyDescent="0.3">
      <c r="A626" s="123"/>
      <c r="B626" s="78"/>
      <c r="C626" s="126"/>
      <c r="D626" s="10" t="s">
        <v>40</v>
      </c>
      <c r="E626" s="32">
        <v>452</v>
      </c>
      <c r="F626" s="32">
        <v>53.3</v>
      </c>
      <c r="G626" s="32">
        <v>517.29999999999995</v>
      </c>
      <c r="H626" s="78"/>
      <c r="I626" s="80"/>
      <c r="J626" s="80"/>
      <c r="K626" s="80"/>
      <c r="L626" s="82"/>
    </row>
    <row r="627" spans="1:12" ht="63.75" customHeight="1" x14ac:dyDescent="0.25">
      <c r="A627" s="121" t="s">
        <v>1075</v>
      </c>
      <c r="B627" s="83" t="s">
        <v>1076</v>
      </c>
      <c r="C627" s="124" t="s">
        <v>1049</v>
      </c>
      <c r="D627" s="14"/>
      <c r="E627" s="31">
        <f>SUM(E628:E629)</f>
        <v>5158.7</v>
      </c>
      <c r="F627" s="31">
        <f>SUM(F628:F629)</f>
        <v>0</v>
      </c>
      <c r="G627" s="31">
        <f>SUM(G628:G629)</f>
        <v>0</v>
      </c>
      <c r="H627" s="83" t="s">
        <v>587</v>
      </c>
      <c r="I627" s="98" t="s">
        <v>29</v>
      </c>
      <c r="J627" s="98">
        <v>100</v>
      </c>
      <c r="K627" s="98"/>
      <c r="L627" s="99"/>
    </row>
    <row r="628" spans="1:12" x14ac:dyDescent="0.25">
      <c r="A628" s="122"/>
      <c r="B628" s="84"/>
      <c r="C628" s="125"/>
      <c r="D628" s="10" t="s">
        <v>30</v>
      </c>
      <c r="E628" s="32">
        <v>3500</v>
      </c>
      <c r="F628" s="32">
        <v>0</v>
      </c>
      <c r="G628" s="32">
        <v>0</v>
      </c>
      <c r="H628" s="84"/>
      <c r="I628" s="91"/>
      <c r="J628" s="91"/>
      <c r="K628" s="91"/>
      <c r="L628" s="97"/>
    </row>
    <row r="629" spans="1:12" ht="14.4" thickBot="1" x14ac:dyDescent="0.3">
      <c r="A629" s="123"/>
      <c r="B629" s="78"/>
      <c r="C629" s="126"/>
      <c r="D629" s="10" t="s">
        <v>40</v>
      </c>
      <c r="E629" s="32">
        <v>1658.7</v>
      </c>
      <c r="F629" s="32">
        <v>0</v>
      </c>
      <c r="G629" s="32">
        <v>0</v>
      </c>
      <c r="H629" s="78"/>
      <c r="I629" s="80"/>
      <c r="J629" s="80"/>
      <c r="K629" s="80"/>
      <c r="L629" s="82"/>
    </row>
    <row r="630" spans="1:12" ht="28.2" thickBot="1" x14ac:dyDescent="0.3">
      <c r="A630" s="12" t="s">
        <v>1077</v>
      </c>
      <c r="B630" s="13" t="s">
        <v>1078</v>
      </c>
      <c r="C630" s="13" t="s">
        <v>1021</v>
      </c>
      <c r="D630" s="14" t="s">
        <v>40</v>
      </c>
      <c r="E630" s="33">
        <v>260</v>
      </c>
      <c r="F630" s="33">
        <v>0</v>
      </c>
      <c r="G630" s="33">
        <v>0</v>
      </c>
      <c r="H630" s="14" t="s">
        <v>1079</v>
      </c>
      <c r="I630" s="15" t="s">
        <v>29</v>
      </c>
      <c r="J630" s="15">
        <v>100</v>
      </c>
      <c r="K630" s="15"/>
      <c r="L630" s="39"/>
    </row>
    <row r="631" spans="1:12" ht="48.75" customHeight="1" x14ac:dyDescent="0.25">
      <c r="A631" s="121" t="s">
        <v>1080</v>
      </c>
      <c r="B631" s="83" t="s">
        <v>1081</v>
      </c>
      <c r="C631" s="124" t="s">
        <v>1082</v>
      </c>
      <c r="D631" s="14"/>
      <c r="E631" s="31">
        <f>SUM(E632:E633)</f>
        <v>400</v>
      </c>
      <c r="F631" s="31">
        <f>SUM(F632:F633)</f>
        <v>2185.1999999999998</v>
      </c>
      <c r="G631" s="31">
        <f>SUM(G632:G633)</f>
        <v>1918</v>
      </c>
      <c r="H631" s="14" t="s">
        <v>330</v>
      </c>
      <c r="I631" s="15" t="s">
        <v>22</v>
      </c>
      <c r="J631" s="15">
        <v>1</v>
      </c>
      <c r="K631" s="15"/>
      <c r="L631" s="39"/>
    </row>
    <row r="632" spans="1:12" x14ac:dyDescent="0.25">
      <c r="A632" s="122"/>
      <c r="B632" s="84"/>
      <c r="C632" s="125"/>
      <c r="D632" s="10" t="s">
        <v>30</v>
      </c>
      <c r="E632" s="32">
        <v>400</v>
      </c>
      <c r="F632" s="32">
        <v>1385.2</v>
      </c>
      <c r="G632" s="32">
        <v>1485.3</v>
      </c>
      <c r="H632" s="77" t="s">
        <v>1083</v>
      </c>
      <c r="I632" s="79" t="s">
        <v>29</v>
      </c>
      <c r="J632" s="79"/>
      <c r="K632" s="79">
        <v>40</v>
      </c>
      <c r="L632" s="81">
        <v>100</v>
      </c>
    </row>
    <row r="633" spans="1:12" ht="14.4" thickBot="1" x14ac:dyDescent="0.3">
      <c r="A633" s="123"/>
      <c r="B633" s="78"/>
      <c r="C633" s="126"/>
      <c r="D633" s="10" t="s">
        <v>40</v>
      </c>
      <c r="E633" s="32"/>
      <c r="F633" s="32">
        <v>800</v>
      </c>
      <c r="G633" s="32">
        <v>432.7</v>
      </c>
      <c r="H633" s="78"/>
      <c r="I633" s="80"/>
      <c r="J633" s="80"/>
      <c r="K633" s="80"/>
      <c r="L633" s="82"/>
    </row>
    <row r="634" spans="1:12" ht="32.25" customHeight="1" x14ac:dyDescent="0.25">
      <c r="A634" s="121" t="s">
        <v>1084</v>
      </c>
      <c r="B634" s="83" t="s">
        <v>1085</v>
      </c>
      <c r="C634" s="124" t="s">
        <v>1049</v>
      </c>
      <c r="D634" s="14"/>
      <c r="E634" s="31">
        <f>SUM(E635:E636)</f>
        <v>400</v>
      </c>
      <c r="F634" s="31">
        <f>SUM(F635:F636)</f>
        <v>1185.4000000000001</v>
      </c>
      <c r="G634" s="31">
        <f>SUM(G635:G636)</f>
        <v>1098.3</v>
      </c>
      <c r="H634" s="14" t="s">
        <v>330</v>
      </c>
      <c r="I634" s="15" t="s">
        <v>22</v>
      </c>
      <c r="J634" s="15">
        <v>1</v>
      </c>
      <c r="K634" s="15"/>
      <c r="L634" s="39"/>
    </row>
    <row r="635" spans="1:12" x14ac:dyDescent="0.25">
      <c r="A635" s="122"/>
      <c r="B635" s="84"/>
      <c r="C635" s="125"/>
      <c r="D635" s="10" t="s">
        <v>30</v>
      </c>
      <c r="E635" s="32">
        <v>400</v>
      </c>
      <c r="F635" s="32">
        <v>785.4</v>
      </c>
      <c r="G635" s="32">
        <v>885.5</v>
      </c>
      <c r="H635" s="77" t="s">
        <v>1083</v>
      </c>
      <c r="I635" s="79" t="s">
        <v>29</v>
      </c>
      <c r="J635" s="79">
        <v>30</v>
      </c>
      <c r="K635" s="79">
        <v>90</v>
      </c>
      <c r="L635" s="81">
        <v>100</v>
      </c>
    </row>
    <row r="636" spans="1:12" ht="14.4" thickBot="1" x14ac:dyDescent="0.3">
      <c r="A636" s="123"/>
      <c r="B636" s="78"/>
      <c r="C636" s="126"/>
      <c r="D636" s="10" t="s">
        <v>40</v>
      </c>
      <c r="E636" s="32"/>
      <c r="F636" s="32">
        <v>400</v>
      </c>
      <c r="G636" s="32">
        <v>212.8</v>
      </c>
      <c r="H636" s="78"/>
      <c r="I636" s="80"/>
      <c r="J636" s="80"/>
      <c r="K636" s="80"/>
      <c r="L636" s="82"/>
    </row>
    <row r="637" spans="1:12" ht="41.4" x14ac:dyDescent="0.25">
      <c r="A637" s="127" t="s">
        <v>1086</v>
      </c>
      <c r="B637" s="129" t="s">
        <v>1087</v>
      </c>
      <c r="C637" s="130"/>
      <c r="D637" s="131"/>
      <c r="E637" s="88">
        <f>SUM(E638:E643)</f>
        <v>144</v>
      </c>
      <c r="F637" s="88">
        <f>SUM(F638:F643)</f>
        <v>549</v>
      </c>
      <c r="G637" s="88">
        <f>SUM(G638:G643)</f>
        <v>149</v>
      </c>
      <c r="H637" s="7" t="s">
        <v>1088</v>
      </c>
      <c r="I637" s="8" t="s">
        <v>269</v>
      </c>
      <c r="J637" s="8">
        <v>750.3</v>
      </c>
      <c r="K637" s="8">
        <v>724.4</v>
      </c>
      <c r="L637" s="43">
        <v>600</v>
      </c>
    </row>
    <row r="638" spans="1:12" ht="27.6" x14ac:dyDescent="0.25">
      <c r="A638" s="138"/>
      <c r="B638" s="139"/>
      <c r="C638" s="140"/>
      <c r="D638" s="141"/>
      <c r="E638" s="89"/>
      <c r="F638" s="89"/>
      <c r="G638" s="89"/>
      <c r="H638" s="22" t="s">
        <v>1089</v>
      </c>
      <c r="I638" s="23" t="s">
        <v>29</v>
      </c>
      <c r="J638" s="23">
        <v>8.6</v>
      </c>
      <c r="K638" s="23">
        <v>8.8000000000000007</v>
      </c>
      <c r="L638" s="38">
        <v>8.8000000000000007</v>
      </c>
    </row>
    <row r="639" spans="1:12" ht="14.4" thickBot="1" x14ac:dyDescent="0.3">
      <c r="A639" s="128"/>
      <c r="B639" s="132"/>
      <c r="C639" s="133"/>
      <c r="D639" s="134"/>
      <c r="E639" s="90"/>
      <c r="F639" s="90"/>
      <c r="G639" s="90"/>
      <c r="H639" s="22" t="s">
        <v>1090</v>
      </c>
      <c r="I639" s="23" t="s">
        <v>269</v>
      </c>
      <c r="J639" s="47">
        <v>1647</v>
      </c>
      <c r="K639" s="47">
        <v>1812</v>
      </c>
      <c r="L639" s="48">
        <v>1700</v>
      </c>
    </row>
    <row r="640" spans="1:12" ht="28.2" thickBot="1" x14ac:dyDescent="0.3">
      <c r="A640" s="12" t="s">
        <v>1091</v>
      </c>
      <c r="B640" s="13" t="s">
        <v>1092</v>
      </c>
      <c r="C640" s="13" t="s">
        <v>943</v>
      </c>
      <c r="D640" s="14" t="s">
        <v>40</v>
      </c>
      <c r="E640" s="33">
        <v>119</v>
      </c>
      <c r="F640" s="33">
        <v>119</v>
      </c>
      <c r="G640" s="33">
        <v>119</v>
      </c>
      <c r="H640" s="14" t="s">
        <v>1093</v>
      </c>
      <c r="I640" s="15" t="s">
        <v>269</v>
      </c>
      <c r="J640" s="41">
        <v>1100</v>
      </c>
      <c r="K640" s="41">
        <v>1100</v>
      </c>
      <c r="L640" s="53">
        <v>1100</v>
      </c>
    </row>
    <row r="641" spans="1:12" ht="27.6" x14ac:dyDescent="0.25">
      <c r="A641" s="12" t="s">
        <v>1094</v>
      </c>
      <c r="B641" s="13" t="s">
        <v>1095</v>
      </c>
      <c r="C641" s="13" t="s">
        <v>171</v>
      </c>
      <c r="D641" s="14" t="s">
        <v>40</v>
      </c>
      <c r="E641" s="33">
        <v>0</v>
      </c>
      <c r="F641" s="33">
        <v>50</v>
      </c>
      <c r="G641" s="33">
        <v>0</v>
      </c>
      <c r="H641" s="14" t="s">
        <v>1096</v>
      </c>
      <c r="I641" s="15" t="s">
        <v>22</v>
      </c>
      <c r="J641" s="15"/>
      <c r="K641" s="15">
        <v>1</v>
      </c>
      <c r="L641" s="39"/>
    </row>
    <row r="642" spans="1:12" ht="43.5" customHeight="1" thickBot="1" x14ac:dyDescent="0.3">
      <c r="A642" s="12" t="s">
        <v>1097</v>
      </c>
      <c r="B642" s="13" t="s">
        <v>1098</v>
      </c>
      <c r="C642" s="13" t="s">
        <v>171</v>
      </c>
      <c r="D642" s="14" t="s">
        <v>40</v>
      </c>
      <c r="E642" s="33">
        <v>0</v>
      </c>
      <c r="F642" s="33">
        <v>350</v>
      </c>
      <c r="G642" s="33">
        <v>0</v>
      </c>
      <c r="H642" s="14" t="s">
        <v>1099</v>
      </c>
      <c r="I642" s="15" t="s">
        <v>29</v>
      </c>
      <c r="J642" s="15"/>
      <c r="K642" s="15">
        <v>50</v>
      </c>
      <c r="L642" s="39"/>
    </row>
    <row r="643" spans="1:12" ht="30" customHeight="1" x14ac:dyDescent="0.25">
      <c r="A643" s="121" t="s">
        <v>1100</v>
      </c>
      <c r="B643" s="83" t="s">
        <v>170</v>
      </c>
      <c r="C643" s="124" t="s">
        <v>171</v>
      </c>
      <c r="D643" s="83" t="s">
        <v>40</v>
      </c>
      <c r="E643" s="85">
        <f>SUM(E644:E645)+25</f>
        <v>25</v>
      </c>
      <c r="F643" s="85">
        <f>SUM(F644:F645)+30</f>
        <v>30</v>
      </c>
      <c r="G643" s="85">
        <f>SUM(G644:G645)+30</f>
        <v>30</v>
      </c>
      <c r="H643" s="14" t="s">
        <v>1101</v>
      </c>
      <c r="I643" s="15" t="s">
        <v>22</v>
      </c>
      <c r="J643" s="15">
        <v>6</v>
      </c>
      <c r="K643" s="15">
        <v>6</v>
      </c>
      <c r="L643" s="39">
        <v>6</v>
      </c>
    </row>
    <row r="644" spans="1:12" x14ac:dyDescent="0.25">
      <c r="A644" s="122"/>
      <c r="B644" s="84"/>
      <c r="C644" s="125"/>
      <c r="D644" s="84"/>
      <c r="E644" s="86"/>
      <c r="F644" s="86"/>
      <c r="G644" s="86"/>
      <c r="H644" s="10" t="s">
        <v>1102</v>
      </c>
      <c r="I644" s="11" t="s">
        <v>269</v>
      </c>
      <c r="J644" s="42">
        <v>1000</v>
      </c>
      <c r="K644" s="42">
        <v>1000</v>
      </c>
      <c r="L644" s="44">
        <v>800</v>
      </c>
    </row>
    <row r="645" spans="1:12" ht="28.2" thickBot="1" x14ac:dyDescent="0.3">
      <c r="A645" s="123"/>
      <c r="B645" s="78"/>
      <c r="C645" s="126"/>
      <c r="D645" s="78"/>
      <c r="E645" s="87"/>
      <c r="F645" s="87"/>
      <c r="G645" s="87"/>
      <c r="H645" s="10" t="s">
        <v>1103</v>
      </c>
      <c r="I645" s="11" t="s">
        <v>29</v>
      </c>
      <c r="J645" s="11">
        <v>0.6</v>
      </c>
      <c r="K645" s="11">
        <v>0.6</v>
      </c>
      <c r="L645" s="40">
        <v>0.5</v>
      </c>
    </row>
    <row r="646" spans="1:12" ht="27.6" x14ac:dyDescent="0.25">
      <c r="A646" s="127" t="s">
        <v>1104</v>
      </c>
      <c r="B646" s="129" t="s">
        <v>1105</v>
      </c>
      <c r="C646" s="130"/>
      <c r="D646" s="131"/>
      <c r="E646" s="88">
        <f>E647+E648+E649+E657+E659+E660+E663+E670+E673+E674+E682+E683+E684+E685+E687+E689-0.1</f>
        <v>142341.19999999998</v>
      </c>
      <c r="F646" s="88">
        <f>F647+F648+F649+F657+F659+F660+F663+F670+F673+F674+F682+F683+F684+F685+F687+F689</f>
        <v>142738.00000000003</v>
      </c>
      <c r="G646" s="88">
        <f>G647+G648+G649+G657+G659+G660+G663+G670+G673+G674+G682+G683+G684+G685+G687+G689</f>
        <v>143360.1</v>
      </c>
      <c r="H646" s="7" t="s">
        <v>1106</v>
      </c>
      <c r="I646" s="8" t="s">
        <v>29</v>
      </c>
      <c r="J646" s="8">
        <v>80</v>
      </c>
      <c r="K646" s="8">
        <v>80</v>
      </c>
      <c r="L646" s="43">
        <v>80</v>
      </c>
    </row>
    <row r="647" spans="1:12" ht="27.6" x14ac:dyDescent="0.25">
      <c r="A647" s="138"/>
      <c r="B647" s="139"/>
      <c r="C647" s="140"/>
      <c r="D647" s="141"/>
      <c r="E647" s="89"/>
      <c r="F647" s="89"/>
      <c r="G647" s="89"/>
      <c r="H647" s="22" t="s">
        <v>1107</v>
      </c>
      <c r="I647" s="23" t="s">
        <v>269</v>
      </c>
      <c r="J647" s="23">
        <v>3</v>
      </c>
      <c r="K647" s="23">
        <v>3</v>
      </c>
      <c r="L647" s="38">
        <v>3</v>
      </c>
    </row>
    <row r="648" spans="1:12" ht="42" thickBot="1" x14ac:dyDescent="0.3">
      <c r="A648" s="128"/>
      <c r="B648" s="132"/>
      <c r="C648" s="133"/>
      <c r="D648" s="134"/>
      <c r="E648" s="90"/>
      <c r="F648" s="90"/>
      <c r="G648" s="90"/>
      <c r="H648" s="22" t="s">
        <v>1108</v>
      </c>
      <c r="I648" s="23" t="s">
        <v>29</v>
      </c>
      <c r="J648" s="23">
        <v>82</v>
      </c>
      <c r="K648" s="23">
        <v>82</v>
      </c>
      <c r="L648" s="38">
        <v>82</v>
      </c>
    </row>
    <row r="649" spans="1:12" x14ac:dyDescent="0.25">
      <c r="A649" s="121" t="s">
        <v>1109</v>
      </c>
      <c r="B649" s="83" t="s">
        <v>1110</v>
      </c>
      <c r="C649" s="124" t="s">
        <v>943</v>
      </c>
      <c r="D649" s="14"/>
      <c r="E649" s="31">
        <f>SUM(E650:E656)</f>
        <v>92466.799999999988</v>
      </c>
      <c r="F649" s="31">
        <f>SUM(F650:F656)</f>
        <v>92251.6</v>
      </c>
      <c r="G649" s="31">
        <f>SUM(G650:G656)</f>
        <v>92536.2</v>
      </c>
      <c r="H649" s="14" t="s">
        <v>1111</v>
      </c>
      <c r="I649" s="15" t="s">
        <v>22</v>
      </c>
      <c r="J649" s="15">
        <v>30</v>
      </c>
      <c r="K649" s="15">
        <v>30</v>
      </c>
      <c r="L649" s="39">
        <v>30</v>
      </c>
    </row>
    <row r="650" spans="1:12" ht="16.5" customHeight="1" x14ac:dyDescent="0.25">
      <c r="A650" s="122"/>
      <c r="B650" s="84"/>
      <c r="C650" s="125"/>
      <c r="D650" s="10" t="s">
        <v>282</v>
      </c>
      <c r="E650" s="32">
        <v>814.1</v>
      </c>
      <c r="F650" s="32">
        <v>738.6</v>
      </c>
      <c r="G650" s="32">
        <v>719.5</v>
      </c>
      <c r="H650" s="10" t="s">
        <v>1112</v>
      </c>
      <c r="I650" s="11" t="s">
        <v>269</v>
      </c>
      <c r="J650" s="42">
        <v>14500</v>
      </c>
      <c r="K650" s="42">
        <v>14500</v>
      </c>
      <c r="L650" s="44">
        <v>14500</v>
      </c>
    </row>
    <row r="651" spans="1:12" x14ac:dyDescent="0.25">
      <c r="A651" s="122"/>
      <c r="B651" s="84"/>
      <c r="C651" s="125"/>
      <c r="D651" s="10" t="s">
        <v>108</v>
      </c>
      <c r="E651" s="32">
        <v>2421</v>
      </c>
      <c r="F651" s="32">
        <v>2436</v>
      </c>
      <c r="G651" s="32">
        <v>2450</v>
      </c>
      <c r="H651" s="10" t="s">
        <v>1113</v>
      </c>
      <c r="I651" s="11" t="s">
        <v>22</v>
      </c>
      <c r="J651" s="11">
        <v>1</v>
      </c>
      <c r="K651" s="11">
        <v>1</v>
      </c>
      <c r="L651" s="40">
        <v>1</v>
      </c>
    </row>
    <row r="652" spans="1:12" ht="27.6" x14ac:dyDescent="0.25">
      <c r="A652" s="122"/>
      <c r="B652" s="84"/>
      <c r="C652" s="125"/>
      <c r="D652" s="10" t="s">
        <v>736</v>
      </c>
      <c r="E652" s="32">
        <v>1544.5</v>
      </c>
      <c r="F652" s="32">
        <v>926.1</v>
      </c>
      <c r="G652" s="32">
        <v>694.8</v>
      </c>
      <c r="H652" s="10" t="s">
        <v>1114</v>
      </c>
      <c r="I652" s="11" t="s">
        <v>22</v>
      </c>
      <c r="J652" s="11">
        <v>1</v>
      </c>
      <c r="K652" s="11">
        <v>1</v>
      </c>
      <c r="L652" s="40">
        <v>1</v>
      </c>
    </row>
    <row r="653" spans="1:12" ht="41.4" x14ac:dyDescent="0.25">
      <c r="A653" s="122"/>
      <c r="B653" s="84"/>
      <c r="C653" s="125"/>
      <c r="D653" s="10" t="s">
        <v>284</v>
      </c>
      <c r="E653" s="32">
        <v>300</v>
      </c>
      <c r="F653" s="32">
        <v>300</v>
      </c>
      <c r="G653" s="32">
        <v>300</v>
      </c>
      <c r="H653" s="10" t="s">
        <v>1115</v>
      </c>
      <c r="I653" s="11" t="s">
        <v>269</v>
      </c>
      <c r="J653" s="42">
        <v>13900</v>
      </c>
      <c r="K653" s="42">
        <v>13900</v>
      </c>
      <c r="L653" s="44">
        <v>13900</v>
      </c>
    </row>
    <row r="654" spans="1:12" ht="45" customHeight="1" x14ac:dyDescent="0.25">
      <c r="A654" s="122"/>
      <c r="B654" s="84"/>
      <c r="C654" s="125"/>
      <c r="D654" s="10" t="s">
        <v>40</v>
      </c>
      <c r="E654" s="32">
        <v>21301.599999999999</v>
      </c>
      <c r="F654" s="32">
        <v>21765.3</v>
      </c>
      <c r="G654" s="32">
        <v>22286.3</v>
      </c>
      <c r="H654" s="77" t="s">
        <v>1116</v>
      </c>
      <c r="I654" s="79" t="s">
        <v>22</v>
      </c>
      <c r="J654" s="79">
        <v>2</v>
      </c>
      <c r="K654" s="79">
        <v>2</v>
      </c>
      <c r="L654" s="81">
        <v>2</v>
      </c>
    </row>
    <row r="655" spans="1:12" x14ac:dyDescent="0.25">
      <c r="A655" s="122"/>
      <c r="B655" s="84"/>
      <c r="C655" s="125"/>
      <c r="D655" s="10" t="s">
        <v>27</v>
      </c>
      <c r="E655" s="32">
        <v>7215.1</v>
      </c>
      <c r="F655" s="32">
        <v>7215.1</v>
      </c>
      <c r="G655" s="32">
        <v>7215.1</v>
      </c>
      <c r="H655" s="84"/>
      <c r="I655" s="91"/>
      <c r="J655" s="91"/>
      <c r="K655" s="91"/>
      <c r="L655" s="97"/>
    </row>
    <row r="656" spans="1:12" ht="14.4" thickBot="1" x14ac:dyDescent="0.3">
      <c r="A656" s="123"/>
      <c r="B656" s="78"/>
      <c r="C656" s="126"/>
      <c r="D656" s="10" t="s">
        <v>1117</v>
      </c>
      <c r="E656" s="32">
        <v>58870.5</v>
      </c>
      <c r="F656" s="32">
        <v>58870.5</v>
      </c>
      <c r="G656" s="32">
        <v>58870.5</v>
      </c>
      <c r="H656" s="78"/>
      <c r="I656" s="80"/>
      <c r="J656" s="80"/>
      <c r="K656" s="80"/>
      <c r="L656" s="82"/>
    </row>
    <row r="657" spans="1:12" ht="27.6" x14ac:dyDescent="0.25">
      <c r="A657" s="121" t="s">
        <v>1118</v>
      </c>
      <c r="B657" s="83" t="s">
        <v>1119</v>
      </c>
      <c r="C657" s="124" t="s">
        <v>943</v>
      </c>
      <c r="D657" s="83" t="s">
        <v>1117</v>
      </c>
      <c r="E657" s="85">
        <f>SUM(E658:E658)+1352.3</f>
        <v>1352.3</v>
      </c>
      <c r="F657" s="85">
        <f>SUM(F658:F658)+1352.3</f>
        <v>1352.3</v>
      </c>
      <c r="G657" s="85">
        <f>SUM(G658:G658)+1352.3</f>
        <v>1352.3</v>
      </c>
      <c r="H657" s="14" t="s">
        <v>1120</v>
      </c>
      <c r="I657" s="15" t="s">
        <v>22</v>
      </c>
      <c r="J657" s="15">
        <v>52</v>
      </c>
      <c r="K657" s="15">
        <v>52</v>
      </c>
      <c r="L657" s="39">
        <v>52</v>
      </c>
    </row>
    <row r="658" spans="1:12" ht="28.2" thickBot="1" x14ac:dyDescent="0.3">
      <c r="A658" s="123"/>
      <c r="B658" s="78"/>
      <c r="C658" s="126"/>
      <c r="D658" s="78"/>
      <c r="E658" s="87"/>
      <c r="F658" s="87"/>
      <c r="G658" s="87"/>
      <c r="H658" s="10" t="s">
        <v>1121</v>
      </c>
      <c r="I658" s="11" t="s">
        <v>22</v>
      </c>
      <c r="J658" s="11">
        <v>30</v>
      </c>
      <c r="K658" s="11">
        <v>30</v>
      </c>
      <c r="L658" s="40">
        <v>30</v>
      </c>
    </row>
    <row r="659" spans="1:12" ht="28.2" thickBot="1" x14ac:dyDescent="0.3">
      <c r="A659" s="12" t="s">
        <v>1122</v>
      </c>
      <c r="B659" s="13" t="s">
        <v>1123</v>
      </c>
      <c r="C659" s="13" t="s">
        <v>943</v>
      </c>
      <c r="D659" s="14" t="s">
        <v>40</v>
      </c>
      <c r="E659" s="33">
        <v>80</v>
      </c>
      <c r="F659" s="33">
        <v>80</v>
      </c>
      <c r="G659" s="33">
        <v>80</v>
      </c>
      <c r="H659" s="14" t="s">
        <v>1124</v>
      </c>
      <c r="I659" s="15" t="s">
        <v>269</v>
      </c>
      <c r="J659" s="15">
        <v>650</v>
      </c>
      <c r="K659" s="15">
        <v>650</v>
      </c>
      <c r="L659" s="39">
        <v>650</v>
      </c>
    </row>
    <row r="660" spans="1:12" ht="33" customHeight="1" x14ac:dyDescent="0.25">
      <c r="A660" s="121" t="s">
        <v>1125</v>
      </c>
      <c r="B660" s="83" t="s">
        <v>1126</v>
      </c>
      <c r="C660" s="124" t="s">
        <v>943</v>
      </c>
      <c r="D660" s="14"/>
      <c r="E660" s="31">
        <f>SUM(E661:E662)</f>
        <v>1629.6000000000001</v>
      </c>
      <c r="F660" s="31">
        <f>SUM(F661:F662)</f>
        <v>1629.6000000000001</v>
      </c>
      <c r="G660" s="31">
        <f>SUM(G661:G662)</f>
        <v>1629.6000000000001</v>
      </c>
      <c r="H660" s="14" t="s">
        <v>1127</v>
      </c>
      <c r="I660" s="15" t="s">
        <v>22</v>
      </c>
      <c r="J660" s="15">
        <v>3</v>
      </c>
      <c r="K660" s="15">
        <v>3</v>
      </c>
      <c r="L660" s="39">
        <v>3</v>
      </c>
    </row>
    <row r="661" spans="1:12" ht="30" customHeight="1" x14ac:dyDescent="0.25">
      <c r="A661" s="122"/>
      <c r="B661" s="84"/>
      <c r="C661" s="125"/>
      <c r="D661" s="10" t="s">
        <v>40</v>
      </c>
      <c r="E661" s="32">
        <v>96.9</v>
      </c>
      <c r="F661" s="32">
        <v>96.9</v>
      </c>
      <c r="G661" s="32">
        <v>96.9</v>
      </c>
      <c r="H661" s="77" t="s">
        <v>1128</v>
      </c>
      <c r="I661" s="79" t="s">
        <v>220</v>
      </c>
      <c r="J661" s="79">
        <v>1</v>
      </c>
      <c r="K661" s="79">
        <v>1</v>
      </c>
      <c r="L661" s="81">
        <v>1</v>
      </c>
    </row>
    <row r="662" spans="1:12" ht="25.5" customHeight="1" thickBot="1" x14ac:dyDescent="0.3">
      <c r="A662" s="123"/>
      <c r="B662" s="78"/>
      <c r="C662" s="126"/>
      <c r="D662" s="10" t="s">
        <v>1117</v>
      </c>
      <c r="E662" s="32">
        <v>1532.7</v>
      </c>
      <c r="F662" s="32">
        <v>1532.7</v>
      </c>
      <c r="G662" s="32">
        <v>1532.7</v>
      </c>
      <c r="H662" s="78"/>
      <c r="I662" s="80"/>
      <c r="J662" s="80"/>
      <c r="K662" s="80"/>
      <c r="L662" s="82"/>
    </row>
    <row r="663" spans="1:12" x14ac:dyDescent="0.25">
      <c r="A663" s="121" t="s">
        <v>1129</v>
      </c>
      <c r="B663" s="83" t="s">
        <v>1130</v>
      </c>
      <c r="C663" s="124" t="s">
        <v>1131</v>
      </c>
      <c r="D663" s="14"/>
      <c r="E663" s="31">
        <f>SUM(E664:E669)</f>
        <v>8501.5</v>
      </c>
      <c r="F663" s="31">
        <f>SUM(F664:F669)</f>
        <v>8704.6999999999989</v>
      </c>
      <c r="G663" s="31">
        <f>SUM(G664:G669)</f>
        <v>8665.1</v>
      </c>
      <c r="H663" s="14" t="s">
        <v>1132</v>
      </c>
      <c r="I663" s="15" t="s">
        <v>22</v>
      </c>
      <c r="J663" s="15">
        <v>8</v>
      </c>
      <c r="K663" s="15">
        <v>8</v>
      </c>
      <c r="L663" s="39">
        <v>8</v>
      </c>
    </row>
    <row r="664" spans="1:12" ht="27.6" x14ac:dyDescent="0.25">
      <c r="A664" s="122"/>
      <c r="B664" s="84"/>
      <c r="C664" s="125"/>
      <c r="D664" s="10" t="s">
        <v>108</v>
      </c>
      <c r="E664" s="32">
        <v>433</v>
      </c>
      <c r="F664" s="32">
        <v>433</v>
      </c>
      <c r="G664" s="32">
        <v>433</v>
      </c>
      <c r="H664" s="10" t="s">
        <v>1133</v>
      </c>
      <c r="I664" s="11" t="s">
        <v>269</v>
      </c>
      <c r="J664" s="42">
        <v>4100</v>
      </c>
      <c r="K664" s="42">
        <v>4100</v>
      </c>
      <c r="L664" s="44">
        <v>4100</v>
      </c>
    </row>
    <row r="665" spans="1:12" x14ac:dyDescent="0.25">
      <c r="A665" s="122"/>
      <c r="B665" s="84"/>
      <c r="C665" s="125"/>
      <c r="D665" s="10" t="s">
        <v>282</v>
      </c>
      <c r="E665" s="32">
        <v>94.4</v>
      </c>
      <c r="F665" s="32">
        <v>89.4</v>
      </c>
      <c r="G665" s="32">
        <v>90.4</v>
      </c>
      <c r="H665" s="10" t="s">
        <v>1134</v>
      </c>
      <c r="I665" s="11" t="s">
        <v>269</v>
      </c>
      <c r="J665" s="42">
        <v>1110</v>
      </c>
      <c r="K665" s="42">
        <v>1110</v>
      </c>
      <c r="L665" s="44">
        <v>1110</v>
      </c>
    </row>
    <row r="666" spans="1:12" ht="27.6" x14ac:dyDescent="0.25">
      <c r="A666" s="122"/>
      <c r="B666" s="84"/>
      <c r="C666" s="125"/>
      <c r="D666" s="10" t="s">
        <v>40</v>
      </c>
      <c r="E666" s="32">
        <v>7362</v>
      </c>
      <c r="F666" s="32">
        <v>7550</v>
      </c>
      <c r="G666" s="32">
        <v>7734.2</v>
      </c>
      <c r="H666" s="10" t="s">
        <v>1135</v>
      </c>
      <c r="I666" s="11" t="s">
        <v>22</v>
      </c>
      <c r="J666" s="11">
        <v>1</v>
      </c>
      <c r="K666" s="11">
        <v>1</v>
      </c>
      <c r="L666" s="40">
        <v>1</v>
      </c>
    </row>
    <row r="667" spans="1:12" ht="27.6" x14ac:dyDescent="0.25">
      <c r="A667" s="122"/>
      <c r="B667" s="84"/>
      <c r="C667" s="125"/>
      <c r="D667" s="10" t="s">
        <v>1117</v>
      </c>
      <c r="E667" s="32">
        <v>407.5</v>
      </c>
      <c r="F667" s="32">
        <v>407.5</v>
      </c>
      <c r="G667" s="32">
        <v>407.5</v>
      </c>
      <c r="H667" s="10" t="s">
        <v>1136</v>
      </c>
      <c r="I667" s="11" t="s">
        <v>22</v>
      </c>
      <c r="J667" s="11">
        <v>9</v>
      </c>
      <c r="K667" s="11">
        <v>9</v>
      </c>
      <c r="L667" s="40">
        <v>9</v>
      </c>
    </row>
    <row r="668" spans="1:12" ht="31.5" customHeight="1" x14ac:dyDescent="0.25">
      <c r="A668" s="122"/>
      <c r="B668" s="84"/>
      <c r="C668" s="125"/>
      <c r="D668" s="10" t="s">
        <v>284</v>
      </c>
      <c r="E668" s="32">
        <v>10.5</v>
      </c>
      <c r="F668" s="32">
        <v>15.5</v>
      </c>
      <c r="G668" s="32">
        <v>0</v>
      </c>
      <c r="H668" s="77" t="s">
        <v>1137</v>
      </c>
      <c r="I668" s="79" t="s">
        <v>22</v>
      </c>
      <c r="J668" s="79">
        <v>12</v>
      </c>
      <c r="K668" s="79">
        <v>12</v>
      </c>
      <c r="L668" s="81">
        <v>12</v>
      </c>
    </row>
    <row r="669" spans="1:12" ht="24" customHeight="1" thickBot="1" x14ac:dyDescent="0.3">
      <c r="A669" s="123"/>
      <c r="B669" s="78"/>
      <c r="C669" s="126"/>
      <c r="D669" s="10" t="s">
        <v>736</v>
      </c>
      <c r="E669" s="32">
        <v>194.1</v>
      </c>
      <c r="F669" s="32">
        <v>209.3</v>
      </c>
      <c r="G669" s="32"/>
      <c r="H669" s="78"/>
      <c r="I669" s="80"/>
      <c r="J669" s="80"/>
      <c r="K669" s="80"/>
      <c r="L669" s="82"/>
    </row>
    <row r="670" spans="1:12" ht="22.5" customHeight="1" x14ac:dyDescent="0.25">
      <c r="A670" s="121" t="s">
        <v>1138</v>
      </c>
      <c r="B670" s="83" t="s">
        <v>1139</v>
      </c>
      <c r="C670" s="124" t="s">
        <v>943</v>
      </c>
      <c r="D670" s="83" t="s">
        <v>27</v>
      </c>
      <c r="E670" s="85">
        <f>SUM(E671:E672)+1055.5</f>
        <v>1055.5</v>
      </c>
      <c r="F670" s="85">
        <f>SUM(F671:F672)+1055.5</f>
        <v>1055.5</v>
      </c>
      <c r="G670" s="85">
        <f>SUM(G671:G672)+1060</f>
        <v>1060</v>
      </c>
      <c r="H670" s="14" t="s">
        <v>1140</v>
      </c>
      <c r="I670" s="15" t="s">
        <v>22</v>
      </c>
      <c r="J670" s="15">
        <v>120</v>
      </c>
      <c r="K670" s="15">
        <v>120</v>
      </c>
      <c r="L670" s="39">
        <v>120</v>
      </c>
    </row>
    <row r="671" spans="1:12" ht="26.25" customHeight="1" x14ac:dyDescent="0.25">
      <c r="A671" s="122"/>
      <c r="B671" s="84"/>
      <c r="C671" s="125"/>
      <c r="D671" s="84"/>
      <c r="E671" s="86"/>
      <c r="F671" s="86"/>
      <c r="G671" s="86"/>
      <c r="H671" s="10" t="s">
        <v>1141</v>
      </c>
      <c r="I671" s="11" t="s">
        <v>22</v>
      </c>
      <c r="J671" s="11">
        <v>55</v>
      </c>
      <c r="K671" s="11">
        <v>55</v>
      </c>
      <c r="L671" s="40">
        <v>55</v>
      </c>
    </row>
    <row r="672" spans="1:12" ht="42" thickBot="1" x14ac:dyDescent="0.3">
      <c r="A672" s="123"/>
      <c r="B672" s="78"/>
      <c r="C672" s="126"/>
      <c r="D672" s="78"/>
      <c r="E672" s="87"/>
      <c r="F672" s="87"/>
      <c r="G672" s="87"/>
      <c r="H672" s="10" t="s">
        <v>1142</v>
      </c>
      <c r="I672" s="11" t="s">
        <v>269</v>
      </c>
      <c r="J672" s="42">
        <v>3500</v>
      </c>
      <c r="K672" s="42">
        <v>3500</v>
      </c>
      <c r="L672" s="44">
        <v>3500</v>
      </c>
    </row>
    <row r="673" spans="1:12" ht="42" thickBot="1" x14ac:dyDescent="0.3">
      <c r="A673" s="12" t="s">
        <v>1143</v>
      </c>
      <c r="B673" s="13" t="s">
        <v>1144</v>
      </c>
      <c r="C673" s="13" t="s">
        <v>943</v>
      </c>
      <c r="D673" s="14" t="s">
        <v>40</v>
      </c>
      <c r="E673" s="33">
        <v>15</v>
      </c>
      <c r="F673" s="33">
        <v>15</v>
      </c>
      <c r="G673" s="33">
        <v>15</v>
      </c>
      <c r="H673" s="14" t="s">
        <v>1145</v>
      </c>
      <c r="I673" s="15" t="s">
        <v>269</v>
      </c>
      <c r="J673" s="15">
        <v>100</v>
      </c>
      <c r="K673" s="15">
        <v>100</v>
      </c>
      <c r="L673" s="39">
        <v>100</v>
      </c>
    </row>
    <row r="674" spans="1:12" x14ac:dyDescent="0.25">
      <c r="A674" s="121" t="s">
        <v>1146</v>
      </c>
      <c r="B674" s="83" t="s">
        <v>1147</v>
      </c>
      <c r="C674" s="124" t="s">
        <v>943</v>
      </c>
      <c r="D674" s="14"/>
      <c r="E674" s="31">
        <f>SUM(E675:E681)</f>
        <v>35104.199999999997</v>
      </c>
      <c r="F674" s="31">
        <f>SUM(F675:F681)</f>
        <v>35550.1</v>
      </c>
      <c r="G674" s="31">
        <f>SUM(G675:G681)</f>
        <v>35986</v>
      </c>
      <c r="H674" s="14" t="s">
        <v>1148</v>
      </c>
      <c r="I674" s="15" t="s">
        <v>22</v>
      </c>
      <c r="J674" s="15">
        <v>22</v>
      </c>
      <c r="K674" s="15">
        <v>22</v>
      </c>
      <c r="L674" s="39">
        <v>22</v>
      </c>
    </row>
    <row r="675" spans="1:12" x14ac:dyDescent="0.25">
      <c r="A675" s="122"/>
      <c r="B675" s="84"/>
      <c r="C675" s="125"/>
      <c r="D675" s="10" t="s">
        <v>40</v>
      </c>
      <c r="E675" s="32">
        <v>18828.8</v>
      </c>
      <c r="F675" s="32">
        <v>19316.599999999999</v>
      </c>
      <c r="G675" s="32">
        <v>19787.2</v>
      </c>
      <c r="H675" s="10" t="s">
        <v>1149</v>
      </c>
      <c r="I675" s="11" t="s">
        <v>269</v>
      </c>
      <c r="J675" s="42">
        <v>3300</v>
      </c>
      <c r="K675" s="42">
        <v>3300</v>
      </c>
      <c r="L675" s="44">
        <v>3300</v>
      </c>
    </row>
    <row r="676" spans="1:12" x14ac:dyDescent="0.25">
      <c r="A676" s="122"/>
      <c r="B676" s="84"/>
      <c r="C676" s="125"/>
      <c r="D676" s="10" t="s">
        <v>736</v>
      </c>
      <c r="E676" s="32">
        <v>181.7</v>
      </c>
      <c r="F676" s="32">
        <v>177.6</v>
      </c>
      <c r="G676" s="32">
        <v>148.6</v>
      </c>
      <c r="H676" s="10" t="s">
        <v>1150</v>
      </c>
      <c r="I676" s="11" t="s">
        <v>22</v>
      </c>
      <c r="J676" s="11">
        <v>4</v>
      </c>
      <c r="K676" s="11">
        <v>4</v>
      </c>
      <c r="L676" s="40">
        <v>4</v>
      </c>
    </row>
    <row r="677" spans="1:12" ht="18.75" customHeight="1" x14ac:dyDescent="0.25">
      <c r="A677" s="122"/>
      <c r="B677" s="84"/>
      <c r="C677" s="125"/>
      <c r="D677" s="10" t="s">
        <v>282</v>
      </c>
      <c r="E677" s="32">
        <v>76.099999999999994</v>
      </c>
      <c r="F677" s="32">
        <v>64.400000000000006</v>
      </c>
      <c r="G677" s="32">
        <v>56.7</v>
      </c>
      <c r="H677" s="77" t="s">
        <v>1151</v>
      </c>
      <c r="I677" s="79" t="s">
        <v>22</v>
      </c>
      <c r="J677" s="79">
        <v>2</v>
      </c>
      <c r="K677" s="79">
        <v>2</v>
      </c>
      <c r="L677" s="81">
        <v>2</v>
      </c>
    </row>
    <row r="678" spans="1:12" x14ac:dyDescent="0.25">
      <c r="A678" s="122"/>
      <c r="B678" s="84"/>
      <c r="C678" s="125"/>
      <c r="D678" s="10" t="s">
        <v>108</v>
      </c>
      <c r="E678" s="32">
        <v>2305</v>
      </c>
      <c r="F678" s="32">
        <v>2305</v>
      </c>
      <c r="G678" s="32">
        <v>2305</v>
      </c>
      <c r="H678" s="84"/>
      <c r="I678" s="91"/>
      <c r="J678" s="91"/>
      <c r="K678" s="91"/>
      <c r="L678" s="97"/>
    </row>
    <row r="679" spans="1:12" x14ac:dyDescent="0.25">
      <c r="A679" s="122"/>
      <c r="B679" s="84"/>
      <c r="C679" s="125"/>
      <c r="D679" s="10" t="s">
        <v>284</v>
      </c>
      <c r="E679" s="32">
        <v>280.39999999999998</v>
      </c>
      <c r="F679" s="32">
        <v>281</v>
      </c>
      <c r="G679" s="32">
        <v>283</v>
      </c>
      <c r="H679" s="84"/>
      <c r="I679" s="91"/>
      <c r="J679" s="91"/>
      <c r="K679" s="91"/>
      <c r="L679" s="97"/>
    </row>
    <row r="680" spans="1:12" x14ac:dyDescent="0.25">
      <c r="A680" s="122"/>
      <c r="B680" s="84"/>
      <c r="C680" s="125"/>
      <c r="D680" s="10" t="s">
        <v>1117</v>
      </c>
      <c r="E680" s="32">
        <v>13405.5</v>
      </c>
      <c r="F680" s="32">
        <v>13405.5</v>
      </c>
      <c r="G680" s="32">
        <v>13405.5</v>
      </c>
      <c r="H680" s="84"/>
      <c r="I680" s="91"/>
      <c r="J680" s="91"/>
      <c r="K680" s="91"/>
      <c r="L680" s="97"/>
    </row>
    <row r="681" spans="1:12" ht="14.4" thickBot="1" x14ac:dyDescent="0.3">
      <c r="A681" s="123"/>
      <c r="B681" s="78"/>
      <c r="C681" s="126"/>
      <c r="D681" s="10" t="s">
        <v>27</v>
      </c>
      <c r="E681" s="32">
        <v>26.7</v>
      </c>
      <c r="F681" s="32"/>
      <c r="G681" s="32"/>
      <c r="H681" s="78"/>
      <c r="I681" s="80"/>
      <c r="J681" s="80"/>
      <c r="K681" s="80"/>
      <c r="L681" s="82"/>
    </row>
    <row r="682" spans="1:12" ht="28.2" thickBot="1" x14ac:dyDescent="0.3">
      <c r="A682" s="12" t="s">
        <v>1152</v>
      </c>
      <c r="B682" s="13" t="s">
        <v>1153</v>
      </c>
      <c r="C682" s="13" t="s">
        <v>943</v>
      </c>
      <c r="D682" s="14" t="s">
        <v>40</v>
      </c>
      <c r="E682" s="33">
        <v>345</v>
      </c>
      <c r="F682" s="33">
        <v>345</v>
      </c>
      <c r="G682" s="33">
        <v>345</v>
      </c>
      <c r="H682" s="14" t="s">
        <v>1154</v>
      </c>
      <c r="I682" s="15" t="s">
        <v>269</v>
      </c>
      <c r="J682" s="41">
        <v>1150</v>
      </c>
      <c r="K682" s="41">
        <v>1150</v>
      </c>
      <c r="L682" s="53">
        <v>1150</v>
      </c>
    </row>
    <row r="683" spans="1:12" ht="41.4" x14ac:dyDescent="0.25">
      <c r="A683" s="12" t="s">
        <v>1155</v>
      </c>
      <c r="B683" s="13" t="s">
        <v>1156</v>
      </c>
      <c r="C683" s="13" t="s">
        <v>943</v>
      </c>
      <c r="D683" s="14" t="s">
        <v>40</v>
      </c>
      <c r="E683" s="33">
        <v>80.400000000000006</v>
      </c>
      <c r="F683" s="33">
        <v>43.2</v>
      </c>
      <c r="G683" s="33">
        <v>18.399999999999999</v>
      </c>
      <c r="H683" s="14" t="s">
        <v>1157</v>
      </c>
      <c r="I683" s="15" t="s">
        <v>269</v>
      </c>
      <c r="J683" s="15">
        <v>350</v>
      </c>
      <c r="K683" s="15">
        <v>250</v>
      </c>
      <c r="L683" s="39">
        <v>150</v>
      </c>
    </row>
    <row r="684" spans="1:12" ht="42" thickBot="1" x14ac:dyDescent="0.3">
      <c r="A684" s="12" t="s">
        <v>1158</v>
      </c>
      <c r="B684" s="13" t="s">
        <v>1159</v>
      </c>
      <c r="C684" s="13" t="s">
        <v>943</v>
      </c>
      <c r="D684" s="14" t="s">
        <v>1117</v>
      </c>
      <c r="E684" s="33">
        <v>1128.9000000000001</v>
      </c>
      <c r="F684" s="33">
        <v>1128.9000000000001</v>
      </c>
      <c r="G684" s="33">
        <v>1128.9000000000001</v>
      </c>
      <c r="H684" s="14" t="s">
        <v>1160</v>
      </c>
      <c r="I684" s="15" t="s">
        <v>22</v>
      </c>
      <c r="J684" s="15">
        <v>5</v>
      </c>
      <c r="K684" s="15">
        <v>5</v>
      </c>
      <c r="L684" s="39">
        <v>5</v>
      </c>
    </row>
    <row r="685" spans="1:12" ht="34.5" customHeight="1" x14ac:dyDescent="0.25">
      <c r="A685" s="121" t="s">
        <v>1161</v>
      </c>
      <c r="B685" s="83" t="s">
        <v>1162</v>
      </c>
      <c r="C685" s="124" t="s">
        <v>943</v>
      </c>
      <c r="D685" s="83" t="s">
        <v>27</v>
      </c>
      <c r="E685" s="85">
        <f>SUM(E686:E686)+358.6</f>
        <v>358.6</v>
      </c>
      <c r="F685" s="85">
        <f>SUM(F686:F686)+358.6</f>
        <v>358.6</v>
      </c>
      <c r="G685" s="85">
        <f>SUM(G686:G686)+358.6</f>
        <v>358.6</v>
      </c>
      <c r="H685" s="14" t="s">
        <v>1163</v>
      </c>
      <c r="I685" s="15" t="s">
        <v>22</v>
      </c>
      <c r="J685" s="15">
        <v>30</v>
      </c>
      <c r="K685" s="15">
        <v>30</v>
      </c>
      <c r="L685" s="39">
        <v>30</v>
      </c>
    </row>
    <row r="686" spans="1:12" ht="26.25" customHeight="1" thickBot="1" x14ac:dyDescent="0.3">
      <c r="A686" s="123"/>
      <c r="B686" s="78"/>
      <c r="C686" s="126"/>
      <c r="D686" s="78"/>
      <c r="E686" s="87"/>
      <c r="F686" s="87"/>
      <c r="G686" s="87"/>
      <c r="H686" s="10" t="s">
        <v>1164</v>
      </c>
      <c r="I686" s="11" t="s">
        <v>22</v>
      </c>
      <c r="J686" s="11">
        <v>27</v>
      </c>
      <c r="K686" s="11">
        <v>27</v>
      </c>
      <c r="L686" s="40">
        <v>27</v>
      </c>
    </row>
    <row r="687" spans="1:12" ht="27.6" x14ac:dyDescent="0.25">
      <c r="A687" s="121" t="s">
        <v>1165</v>
      </c>
      <c r="B687" s="83" t="s">
        <v>1166</v>
      </c>
      <c r="C687" s="124" t="s">
        <v>943</v>
      </c>
      <c r="D687" s="83" t="s">
        <v>40</v>
      </c>
      <c r="E687" s="85">
        <f>SUM(E688:E688)+187</f>
        <v>187</v>
      </c>
      <c r="F687" s="85">
        <f>SUM(F688:F688)+187</f>
        <v>187</v>
      </c>
      <c r="G687" s="85">
        <f>SUM(G688:G688)+185</f>
        <v>185</v>
      </c>
      <c r="H687" s="14" t="s">
        <v>1167</v>
      </c>
      <c r="I687" s="15" t="s">
        <v>22</v>
      </c>
      <c r="J687" s="15">
        <v>30</v>
      </c>
      <c r="K687" s="15">
        <v>30</v>
      </c>
      <c r="L687" s="39">
        <v>30</v>
      </c>
    </row>
    <row r="688" spans="1:12" ht="28.2" thickBot="1" x14ac:dyDescent="0.3">
      <c r="A688" s="123"/>
      <c r="B688" s="78"/>
      <c r="C688" s="126"/>
      <c r="D688" s="78"/>
      <c r="E688" s="87"/>
      <c r="F688" s="87"/>
      <c r="G688" s="87"/>
      <c r="H688" s="10" t="s">
        <v>1168</v>
      </c>
      <c r="I688" s="11" t="s">
        <v>220</v>
      </c>
      <c r="J688" s="11">
        <v>28</v>
      </c>
      <c r="K688" s="11">
        <v>28</v>
      </c>
      <c r="L688" s="40">
        <v>28</v>
      </c>
    </row>
    <row r="689" spans="1:12" x14ac:dyDescent="0.25">
      <c r="A689" s="121" t="s">
        <v>1169</v>
      </c>
      <c r="B689" s="83" t="s">
        <v>1170</v>
      </c>
      <c r="C689" s="124" t="s">
        <v>1171</v>
      </c>
      <c r="D689" s="14"/>
      <c r="E689" s="31">
        <f>SUM(E690:E691)</f>
        <v>36.5</v>
      </c>
      <c r="F689" s="31">
        <f>SUM(F690:F691)</f>
        <v>36.5</v>
      </c>
      <c r="G689" s="31">
        <f>SUM(G690:G691)</f>
        <v>0</v>
      </c>
      <c r="H689" s="83" t="s">
        <v>1172</v>
      </c>
      <c r="I689" s="98" t="s">
        <v>29</v>
      </c>
      <c r="J689" s="98">
        <v>66</v>
      </c>
      <c r="K689" s="98">
        <v>100</v>
      </c>
      <c r="L689" s="99"/>
    </row>
    <row r="690" spans="1:12" x14ac:dyDescent="0.25">
      <c r="A690" s="122"/>
      <c r="B690" s="84"/>
      <c r="C690" s="125"/>
      <c r="D690" s="10" t="s">
        <v>27</v>
      </c>
      <c r="E690" s="32">
        <v>16.5</v>
      </c>
      <c r="F690" s="32">
        <v>16.5</v>
      </c>
      <c r="G690" s="32">
        <v>0</v>
      </c>
      <c r="H690" s="84"/>
      <c r="I690" s="91"/>
      <c r="J690" s="91"/>
      <c r="K690" s="91"/>
      <c r="L690" s="97"/>
    </row>
    <row r="691" spans="1:12" ht="14.4" thickBot="1" x14ac:dyDescent="0.3">
      <c r="A691" s="123"/>
      <c r="B691" s="78"/>
      <c r="C691" s="126"/>
      <c r="D691" s="10" t="s">
        <v>30</v>
      </c>
      <c r="E691" s="32">
        <v>20</v>
      </c>
      <c r="F691" s="32">
        <v>20</v>
      </c>
      <c r="G691" s="32">
        <v>0</v>
      </c>
      <c r="H691" s="78"/>
      <c r="I691" s="80"/>
      <c r="J691" s="80"/>
      <c r="K691" s="80"/>
      <c r="L691" s="82"/>
    </row>
    <row r="692" spans="1:12" ht="28.5" customHeight="1" thickBot="1" x14ac:dyDescent="0.3">
      <c r="A692" s="4" t="s">
        <v>1173</v>
      </c>
      <c r="B692" s="5" t="s">
        <v>1174</v>
      </c>
      <c r="C692" s="92" t="s">
        <v>197</v>
      </c>
      <c r="D692" s="93"/>
      <c r="E692" s="28">
        <f>E693+E726</f>
        <v>8483.1</v>
      </c>
      <c r="F692" s="28">
        <f>F693+F726</f>
        <v>9029.7999999999993</v>
      </c>
      <c r="G692" s="28">
        <f>G693+G726</f>
        <v>3640.8</v>
      </c>
      <c r="H692" s="94"/>
      <c r="I692" s="95"/>
      <c r="J692" s="95"/>
      <c r="K692" s="95"/>
      <c r="L692" s="96"/>
    </row>
    <row r="693" spans="1:12" ht="27.6" x14ac:dyDescent="0.25">
      <c r="A693" s="127" t="s">
        <v>1175</v>
      </c>
      <c r="B693" s="129" t="s">
        <v>1176</v>
      </c>
      <c r="C693" s="130"/>
      <c r="D693" s="131"/>
      <c r="E693" s="88">
        <f>E694+E695+E696+E702+E708+E714+E715+E716+E718+E724-0.1</f>
        <v>2821.1</v>
      </c>
      <c r="F693" s="88">
        <f>F694+F695+F696+F702+F708+F714+F715+F716+F718+F724</f>
        <v>2506</v>
      </c>
      <c r="G693" s="88">
        <f>G694+G695+G696+G702+G708+G714+G715+G716+G718+G724</f>
        <v>2502.6000000000004</v>
      </c>
      <c r="H693" s="7" t="s">
        <v>1177</v>
      </c>
      <c r="I693" s="8" t="s">
        <v>22</v>
      </c>
      <c r="J693" s="8">
        <v>2.2000000000000002</v>
      </c>
      <c r="K693" s="8">
        <v>2.2000000000000002</v>
      </c>
      <c r="L693" s="43">
        <v>2.2000000000000002</v>
      </c>
    </row>
    <row r="694" spans="1:12" ht="27.6" x14ac:dyDescent="0.25">
      <c r="A694" s="138"/>
      <c r="B694" s="139"/>
      <c r="C694" s="140"/>
      <c r="D694" s="141"/>
      <c r="E694" s="89"/>
      <c r="F694" s="89"/>
      <c r="G694" s="89"/>
      <c r="H694" s="22" t="s">
        <v>1178</v>
      </c>
      <c r="I694" s="23" t="s">
        <v>29</v>
      </c>
      <c r="J694" s="23">
        <v>81.400000000000006</v>
      </c>
      <c r="K694" s="23">
        <v>82.6</v>
      </c>
      <c r="L694" s="38">
        <v>83.2</v>
      </c>
    </row>
    <row r="695" spans="1:12" ht="24.75" customHeight="1" thickBot="1" x14ac:dyDescent="0.3">
      <c r="A695" s="128"/>
      <c r="B695" s="132"/>
      <c r="C695" s="133"/>
      <c r="D695" s="134"/>
      <c r="E695" s="90"/>
      <c r="F695" s="90"/>
      <c r="G695" s="90"/>
      <c r="H695" s="22" t="s">
        <v>1179</v>
      </c>
      <c r="I695" s="23" t="s">
        <v>269</v>
      </c>
      <c r="J695" s="23">
        <v>14</v>
      </c>
      <c r="K695" s="23">
        <v>13.5</v>
      </c>
      <c r="L695" s="38">
        <v>13.2</v>
      </c>
    </row>
    <row r="696" spans="1:12" x14ac:dyDescent="0.25">
      <c r="A696" s="121" t="s">
        <v>1180</v>
      </c>
      <c r="B696" s="83" t="s">
        <v>1181</v>
      </c>
      <c r="C696" s="124" t="s">
        <v>1182</v>
      </c>
      <c r="D696" s="14"/>
      <c r="E696" s="31">
        <f>SUM(E697:E701)</f>
        <v>196.39999999999998</v>
      </c>
      <c r="F696" s="31">
        <f>SUM(F697:F701)</f>
        <v>200.3</v>
      </c>
      <c r="G696" s="31">
        <f>SUM(G697:G701)</f>
        <v>200</v>
      </c>
      <c r="H696" s="83" t="s">
        <v>1183</v>
      </c>
      <c r="I696" s="98" t="s">
        <v>269</v>
      </c>
      <c r="J696" s="98">
        <v>200</v>
      </c>
      <c r="K696" s="98">
        <v>200</v>
      </c>
      <c r="L696" s="99">
        <v>200</v>
      </c>
    </row>
    <row r="697" spans="1:12" x14ac:dyDescent="0.25">
      <c r="A697" s="122"/>
      <c r="B697" s="84"/>
      <c r="C697" s="125"/>
      <c r="D697" s="10" t="s">
        <v>282</v>
      </c>
      <c r="E697" s="32">
        <v>3.1</v>
      </c>
      <c r="F697" s="32">
        <v>2.8</v>
      </c>
      <c r="G697" s="32">
        <v>2</v>
      </c>
      <c r="H697" s="84"/>
      <c r="I697" s="91"/>
      <c r="J697" s="91"/>
      <c r="K697" s="91"/>
      <c r="L697" s="97"/>
    </row>
    <row r="698" spans="1:12" x14ac:dyDescent="0.25">
      <c r="A698" s="122"/>
      <c r="B698" s="84"/>
      <c r="C698" s="125"/>
      <c r="D698" s="10" t="s">
        <v>284</v>
      </c>
      <c r="E698" s="32">
        <v>0.9</v>
      </c>
      <c r="F698" s="32">
        <v>0.9</v>
      </c>
      <c r="G698" s="32">
        <v>0.9</v>
      </c>
      <c r="H698" s="84"/>
      <c r="I698" s="91"/>
      <c r="J698" s="91"/>
      <c r="K698" s="91"/>
      <c r="L698" s="97"/>
    </row>
    <row r="699" spans="1:12" x14ac:dyDescent="0.25">
      <c r="A699" s="122"/>
      <c r="B699" s="84"/>
      <c r="C699" s="125"/>
      <c r="D699" s="10" t="s">
        <v>108</v>
      </c>
      <c r="E699" s="32">
        <v>1</v>
      </c>
      <c r="F699" s="32">
        <v>1</v>
      </c>
      <c r="G699" s="32">
        <v>1</v>
      </c>
      <c r="H699" s="84"/>
      <c r="I699" s="91"/>
      <c r="J699" s="91"/>
      <c r="K699" s="91"/>
      <c r="L699" s="97"/>
    </row>
    <row r="700" spans="1:12" x14ac:dyDescent="0.25">
      <c r="A700" s="122"/>
      <c r="B700" s="84"/>
      <c r="C700" s="125"/>
      <c r="D700" s="10" t="s">
        <v>736</v>
      </c>
      <c r="E700" s="32">
        <v>25.7</v>
      </c>
      <c r="F700" s="32">
        <v>25.7</v>
      </c>
      <c r="G700" s="32">
        <v>22.1</v>
      </c>
      <c r="H700" s="84"/>
      <c r="I700" s="91"/>
      <c r="J700" s="91"/>
      <c r="K700" s="91"/>
      <c r="L700" s="97"/>
    </row>
    <row r="701" spans="1:12" ht="14.4" thickBot="1" x14ac:dyDescent="0.3">
      <c r="A701" s="123"/>
      <c r="B701" s="78"/>
      <c r="C701" s="126"/>
      <c r="D701" s="10" t="s">
        <v>40</v>
      </c>
      <c r="E701" s="32">
        <v>165.7</v>
      </c>
      <c r="F701" s="32">
        <v>169.9</v>
      </c>
      <c r="G701" s="32">
        <v>174</v>
      </c>
      <c r="H701" s="78"/>
      <c r="I701" s="80"/>
      <c r="J701" s="80"/>
      <c r="K701" s="80"/>
      <c r="L701" s="82"/>
    </row>
    <row r="702" spans="1:12" ht="27.6" x14ac:dyDescent="0.25">
      <c r="A702" s="121" t="s">
        <v>1184</v>
      </c>
      <c r="B702" s="83" t="s">
        <v>1185</v>
      </c>
      <c r="C702" s="124" t="s">
        <v>1182</v>
      </c>
      <c r="D702" s="14"/>
      <c r="E702" s="31">
        <f>SUM(E703:E707)</f>
        <v>1925.6</v>
      </c>
      <c r="F702" s="31">
        <f>SUM(F703:F707)</f>
        <v>1603</v>
      </c>
      <c r="G702" s="31">
        <f>SUM(G703:G707)</f>
        <v>1590.4</v>
      </c>
      <c r="H702" s="14" t="s">
        <v>1186</v>
      </c>
      <c r="I702" s="15" t="s">
        <v>22</v>
      </c>
      <c r="J702" s="15">
        <v>60</v>
      </c>
      <c r="K702" s="15">
        <v>60</v>
      </c>
      <c r="L702" s="39">
        <v>60</v>
      </c>
    </row>
    <row r="703" spans="1:12" ht="27.6" x14ac:dyDescent="0.25">
      <c r="A703" s="122"/>
      <c r="B703" s="84"/>
      <c r="C703" s="125"/>
      <c r="D703" s="10" t="s">
        <v>736</v>
      </c>
      <c r="E703" s="32">
        <v>20</v>
      </c>
      <c r="F703" s="32">
        <v>19</v>
      </c>
      <c r="G703" s="32">
        <v>0</v>
      </c>
      <c r="H703" s="10" t="s">
        <v>1187</v>
      </c>
      <c r="I703" s="11" t="s">
        <v>269</v>
      </c>
      <c r="J703" s="42">
        <v>60000</v>
      </c>
      <c r="K703" s="42">
        <v>60000</v>
      </c>
      <c r="L703" s="44">
        <v>60000</v>
      </c>
    </row>
    <row r="704" spans="1:12" ht="27.6" x14ac:dyDescent="0.25">
      <c r="A704" s="122"/>
      <c r="B704" s="84"/>
      <c r="C704" s="125"/>
      <c r="D704" s="10" t="s">
        <v>154</v>
      </c>
      <c r="E704" s="32">
        <v>1151.8</v>
      </c>
      <c r="F704" s="32">
        <v>1185.4000000000001</v>
      </c>
      <c r="G704" s="32">
        <v>1185.4000000000001</v>
      </c>
      <c r="H704" s="10" t="s">
        <v>1188</v>
      </c>
      <c r="I704" s="11" t="s">
        <v>22</v>
      </c>
      <c r="J704" s="11">
        <v>1</v>
      </c>
      <c r="K704" s="11">
        <v>1</v>
      </c>
      <c r="L704" s="40">
        <v>1</v>
      </c>
    </row>
    <row r="705" spans="1:12" ht="27.6" x14ac:dyDescent="0.25">
      <c r="A705" s="122"/>
      <c r="B705" s="84"/>
      <c r="C705" s="125"/>
      <c r="D705" s="10" t="s">
        <v>284</v>
      </c>
      <c r="E705" s="32">
        <v>3.6</v>
      </c>
      <c r="F705" s="32">
        <v>3.3</v>
      </c>
      <c r="G705" s="32">
        <v>0</v>
      </c>
      <c r="H705" s="10" t="s">
        <v>1189</v>
      </c>
      <c r="I705" s="11" t="s">
        <v>269</v>
      </c>
      <c r="J705" s="42">
        <v>21000</v>
      </c>
      <c r="K705" s="42">
        <v>22000</v>
      </c>
      <c r="L705" s="44">
        <v>23000</v>
      </c>
    </row>
    <row r="706" spans="1:12" x14ac:dyDescent="0.25">
      <c r="A706" s="122"/>
      <c r="B706" s="84"/>
      <c r="C706" s="125"/>
      <c r="D706" s="77" t="s">
        <v>40</v>
      </c>
      <c r="E706" s="108">
        <v>750.2</v>
      </c>
      <c r="F706" s="108">
        <v>395.3</v>
      </c>
      <c r="G706" s="108">
        <v>405</v>
      </c>
      <c r="H706" s="10" t="s">
        <v>1190</v>
      </c>
      <c r="I706" s="11" t="s">
        <v>269</v>
      </c>
      <c r="J706" s="11">
        <v>400</v>
      </c>
      <c r="K706" s="11">
        <v>400</v>
      </c>
      <c r="L706" s="40">
        <v>400</v>
      </c>
    </row>
    <row r="707" spans="1:12" ht="42" thickBot="1" x14ac:dyDescent="0.3">
      <c r="A707" s="123"/>
      <c r="B707" s="78"/>
      <c r="C707" s="126"/>
      <c r="D707" s="78"/>
      <c r="E707" s="110"/>
      <c r="F707" s="110"/>
      <c r="G707" s="110"/>
      <c r="H707" s="10" t="s">
        <v>1191</v>
      </c>
      <c r="I707" s="11" t="s">
        <v>269</v>
      </c>
      <c r="J707" s="11">
        <v>130</v>
      </c>
      <c r="K707" s="11">
        <v>140</v>
      </c>
      <c r="L707" s="40">
        <v>150</v>
      </c>
    </row>
    <row r="708" spans="1:12" ht="27.6" x14ac:dyDescent="0.25">
      <c r="A708" s="121" t="s">
        <v>1192</v>
      </c>
      <c r="B708" s="83" t="s">
        <v>1193</v>
      </c>
      <c r="C708" s="124" t="s">
        <v>1194</v>
      </c>
      <c r="D708" s="83" t="s">
        <v>154</v>
      </c>
      <c r="E708" s="85">
        <f>SUM(E709:E713)+156.2</f>
        <v>156.19999999999999</v>
      </c>
      <c r="F708" s="85">
        <f>SUM(F709:F713)+156.2</f>
        <v>156.19999999999999</v>
      </c>
      <c r="G708" s="85">
        <f>SUM(G709:G713)+156.2</f>
        <v>156.19999999999999</v>
      </c>
      <c r="H708" s="14" t="s">
        <v>1195</v>
      </c>
      <c r="I708" s="15" t="s">
        <v>269</v>
      </c>
      <c r="J708" s="41">
        <v>19100</v>
      </c>
      <c r="K708" s="41">
        <v>20090</v>
      </c>
      <c r="L708" s="53">
        <v>21100</v>
      </c>
    </row>
    <row r="709" spans="1:12" ht="27.6" x14ac:dyDescent="0.25">
      <c r="A709" s="122"/>
      <c r="B709" s="84"/>
      <c r="C709" s="125"/>
      <c r="D709" s="84"/>
      <c r="E709" s="86"/>
      <c r="F709" s="86"/>
      <c r="G709" s="86"/>
      <c r="H709" s="10" t="s">
        <v>1196</v>
      </c>
      <c r="I709" s="11" t="s">
        <v>269</v>
      </c>
      <c r="J709" s="42">
        <v>2820</v>
      </c>
      <c r="K709" s="42">
        <v>2900</v>
      </c>
      <c r="L709" s="44">
        <v>3000</v>
      </c>
    </row>
    <row r="710" spans="1:12" ht="27.6" x14ac:dyDescent="0.25">
      <c r="A710" s="122"/>
      <c r="B710" s="84"/>
      <c r="C710" s="125"/>
      <c r="D710" s="84"/>
      <c r="E710" s="86"/>
      <c r="F710" s="86"/>
      <c r="G710" s="86"/>
      <c r="H710" s="10" t="s">
        <v>1197</v>
      </c>
      <c r="I710" s="11" t="s">
        <v>269</v>
      </c>
      <c r="J710" s="42">
        <v>9200</v>
      </c>
      <c r="K710" s="42">
        <v>10000</v>
      </c>
      <c r="L710" s="44">
        <v>10800</v>
      </c>
    </row>
    <row r="711" spans="1:12" x14ac:dyDescent="0.25">
      <c r="A711" s="122"/>
      <c r="B711" s="84"/>
      <c r="C711" s="125"/>
      <c r="D711" s="84"/>
      <c r="E711" s="86"/>
      <c r="F711" s="86"/>
      <c r="G711" s="86"/>
      <c r="H711" s="10" t="s">
        <v>1198</v>
      </c>
      <c r="I711" s="11" t="s">
        <v>269</v>
      </c>
      <c r="J711" s="42">
        <v>6800</v>
      </c>
      <c r="K711" s="42">
        <v>6900</v>
      </c>
      <c r="L711" s="44">
        <v>7000</v>
      </c>
    </row>
    <row r="712" spans="1:12" ht="27.6" x14ac:dyDescent="0.25">
      <c r="A712" s="122"/>
      <c r="B712" s="84"/>
      <c r="C712" s="125"/>
      <c r="D712" s="84"/>
      <c r="E712" s="86"/>
      <c r="F712" s="86"/>
      <c r="G712" s="86"/>
      <c r="H712" s="10" t="s">
        <v>1199</v>
      </c>
      <c r="I712" s="11" t="s">
        <v>269</v>
      </c>
      <c r="J712" s="11">
        <v>280</v>
      </c>
      <c r="K712" s="11">
        <v>290</v>
      </c>
      <c r="L712" s="40">
        <v>300</v>
      </c>
    </row>
    <row r="713" spans="1:12" ht="14.4" thickBot="1" x14ac:dyDescent="0.3">
      <c r="A713" s="123"/>
      <c r="B713" s="78"/>
      <c r="C713" s="126"/>
      <c r="D713" s="78"/>
      <c r="E713" s="87"/>
      <c r="F713" s="87"/>
      <c r="G713" s="87"/>
      <c r="H713" s="10" t="s">
        <v>1200</v>
      </c>
      <c r="I713" s="11" t="s">
        <v>22</v>
      </c>
      <c r="J713" s="11">
        <v>10</v>
      </c>
      <c r="K713" s="11">
        <v>12</v>
      </c>
      <c r="L713" s="40">
        <v>15</v>
      </c>
    </row>
    <row r="714" spans="1:12" ht="42" thickBot="1" x14ac:dyDescent="0.3">
      <c r="A714" s="12" t="s">
        <v>1201</v>
      </c>
      <c r="B714" s="13" t="s">
        <v>1202</v>
      </c>
      <c r="C714" s="13" t="s">
        <v>197</v>
      </c>
      <c r="D714" s="14" t="s">
        <v>40</v>
      </c>
      <c r="E714" s="33">
        <v>3</v>
      </c>
      <c r="F714" s="33">
        <v>3.5</v>
      </c>
      <c r="G714" s="33">
        <v>4</v>
      </c>
      <c r="H714" s="14" t="s">
        <v>1203</v>
      </c>
      <c r="I714" s="15" t="s">
        <v>269</v>
      </c>
      <c r="J714" s="15">
        <v>15</v>
      </c>
      <c r="K714" s="15">
        <v>15</v>
      </c>
      <c r="L714" s="39">
        <v>15</v>
      </c>
    </row>
    <row r="715" spans="1:12" ht="42" thickBot="1" x14ac:dyDescent="0.3">
      <c r="A715" s="12" t="s">
        <v>1204</v>
      </c>
      <c r="B715" s="13" t="s">
        <v>1205</v>
      </c>
      <c r="C715" s="13" t="s">
        <v>1206</v>
      </c>
      <c r="D715" s="14" t="s">
        <v>40</v>
      </c>
      <c r="E715" s="33">
        <v>15</v>
      </c>
      <c r="F715" s="33">
        <v>15</v>
      </c>
      <c r="G715" s="33">
        <v>15</v>
      </c>
      <c r="H715" s="14" t="s">
        <v>1207</v>
      </c>
      <c r="I715" s="15" t="s">
        <v>22</v>
      </c>
      <c r="J715" s="15">
        <v>800</v>
      </c>
      <c r="K715" s="15">
        <v>800</v>
      </c>
      <c r="L715" s="39">
        <v>800</v>
      </c>
    </row>
    <row r="716" spans="1:12" ht="27.6" x14ac:dyDescent="0.25">
      <c r="A716" s="121" t="s">
        <v>1208</v>
      </c>
      <c r="B716" s="83" t="s">
        <v>1209</v>
      </c>
      <c r="C716" s="124" t="s">
        <v>197</v>
      </c>
      <c r="D716" s="83" t="s">
        <v>40</v>
      </c>
      <c r="E716" s="85">
        <f>SUM(E717:E717)+316</f>
        <v>316</v>
      </c>
      <c r="F716" s="85">
        <f>SUM(F717:F717)+316</f>
        <v>316</v>
      </c>
      <c r="G716" s="85">
        <f>SUM(G717:G717)+316</f>
        <v>316</v>
      </c>
      <c r="H716" s="14" t="s">
        <v>1210</v>
      </c>
      <c r="I716" s="15" t="s">
        <v>269</v>
      </c>
      <c r="J716" s="15">
        <v>14</v>
      </c>
      <c r="K716" s="15">
        <v>14</v>
      </c>
      <c r="L716" s="39">
        <v>14</v>
      </c>
    </row>
    <row r="717" spans="1:12" ht="14.4" thickBot="1" x14ac:dyDescent="0.3">
      <c r="A717" s="123"/>
      <c r="B717" s="78"/>
      <c r="C717" s="126"/>
      <c r="D717" s="78"/>
      <c r="E717" s="87"/>
      <c r="F717" s="87"/>
      <c r="G717" s="87"/>
      <c r="H717" s="10" t="s">
        <v>1211</v>
      </c>
      <c r="I717" s="11" t="s">
        <v>269</v>
      </c>
      <c r="J717" s="11">
        <v>8</v>
      </c>
      <c r="K717" s="11">
        <v>8</v>
      </c>
      <c r="L717" s="40">
        <v>8</v>
      </c>
    </row>
    <row r="718" spans="1:12" x14ac:dyDescent="0.25">
      <c r="A718" s="121" t="s">
        <v>1212</v>
      </c>
      <c r="B718" s="83" t="s">
        <v>1213</v>
      </c>
      <c r="C718" s="124" t="s">
        <v>197</v>
      </c>
      <c r="D718" s="14"/>
      <c r="E718" s="31">
        <f>SUM(E719:E723)</f>
        <v>191</v>
      </c>
      <c r="F718" s="31">
        <f>SUM(F719:F723)</f>
        <v>191</v>
      </c>
      <c r="G718" s="31">
        <f>SUM(G719:G723)</f>
        <v>198</v>
      </c>
      <c r="H718" s="14" t="s">
        <v>1214</v>
      </c>
      <c r="I718" s="15" t="s">
        <v>269</v>
      </c>
      <c r="J718" s="41">
        <v>7100</v>
      </c>
      <c r="K718" s="41">
        <v>7200</v>
      </c>
      <c r="L718" s="53">
        <v>7300</v>
      </c>
    </row>
    <row r="719" spans="1:12" ht="30.75" customHeight="1" x14ac:dyDescent="0.25">
      <c r="A719" s="122"/>
      <c r="B719" s="84"/>
      <c r="C719" s="125"/>
      <c r="D719" s="10" t="s">
        <v>40</v>
      </c>
      <c r="E719" s="32">
        <v>85</v>
      </c>
      <c r="F719" s="32">
        <v>85</v>
      </c>
      <c r="G719" s="32">
        <v>92</v>
      </c>
      <c r="H719" s="10" t="s">
        <v>1215</v>
      </c>
      <c r="I719" s="11" t="s">
        <v>269</v>
      </c>
      <c r="J719" s="11">
        <v>5</v>
      </c>
      <c r="K719" s="11">
        <v>5</v>
      </c>
      <c r="L719" s="40">
        <v>5</v>
      </c>
    </row>
    <row r="720" spans="1:12" ht="27.6" x14ac:dyDescent="0.25">
      <c r="A720" s="122"/>
      <c r="B720" s="84"/>
      <c r="C720" s="125"/>
      <c r="D720" s="77" t="s">
        <v>364</v>
      </c>
      <c r="E720" s="108">
        <v>106</v>
      </c>
      <c r="F720" s="108">
        <v>106</v>
      </c>
      <c r="G720" s="108">
        <v>106</v>
      </c>
      <c r="H720" s="10" t="s">
        <v>1216</v>
      </c>
      <c r="I720" s="11" t="s">
        <v>22</v>
      </c>
      <c r="J720" s="11">
        <v>2</v>
      </c>
      <c r="K720" s="11">
        <v>2</v>
      </c>
      <c r="L720" s="40">
        <v>2</v>
      </c>
    </row>
    <row r="721" spans="1:12" ht="27.6" x14ac:dyDescent="0.25">
      <c r="A721" s="122"/>
      <c r="B721" s="84"/>
      <c r="C721" s="125"/>
      <c r="D721" s="84"/>
      <c r="E721" s="109"/>
      <c r="F721" s="109"/>
      <c r="G721" s="109"/>
      <c r="H721" s="10" t="s">
        <v>1217</v>
      </c>
      <c r="I721" s="11" t="s">
        <v>22</v>
      </c>
      <c r="J721" s="42">
        <v>3008</v>
      </c>
      <c r="K721" s="42">
        <v>3008</v>
      </c>
      <c r="L721" s="44">
        <v>3008</v>
      </c>
    </row>
    <row r="722" spans="1:12" x14ac:dyDescent="0.25">
      <c r="A722" s="122"/>
      <c r="B722" s="84"/>
      <c r="C722" s="125"/>
      <c r="D722" s="84"/>
      <c r="E722" s="109"/>
      <c r="F722" s="109"/>
      <c r="G722" s="109"/>
      <c r="H722" s="10" t="s">
        <v>1218</v>
      </c>
      <c r="I722" s="11" t="s">
        <v>220</v>
      </c>
      <c r="J722" s="11">
        <v>2</v>
      </c>
      <c r="K722" s="11">
        <v>2</v>
      </c>
      <c r="L722" s="40">
        <v>2</v>
      </c>
    </row>
    <row r="723" spans="1:12" ht="28.2" thickBot="1" x14ac:dyDescent="0.3">
      <c r="A723" s="123"/>
      <c r="B723" s="78"/>
      <c r="C723" s="126"/>
      <c r="D723" s="78"/>
      <c r="E723" s="110"/>
      <c r="F723" s="110"/>
      <c r="G723" s="110"/>
      <c r="H723" s="10" t="s">
        <v>1219</v>
      </c>
      <c r="I723" s="11" t="s">
        <v>269</v>
      </c>
      <c r="J723" s="11">
        <v>670</v>
      </c>
      <c r="K723" s="11">
        <v>670</v>
      </c>
      <c r="L723" s="40">
        <v>670</v>
      </c>
    </row>
    <row r="724" spans="1:12" ht="79.5" customHeight="1" x14ac:dyDescent="0.25">
      <c r="A724" s="121" t="s">
        <v>1220</v>
      </c>
      <c r="B724" s="83" t="s">
        <v>1221</v>
      </c>
      <c r="C724" s="124" t="s">
        <v>1222</v>
      </c>
      <c r="D724" s="83" t="s">
        <v>40</v>
      </c>
      <c r="E724" s="85">
        <f>SUM(E725:E725)+18</f>
        <v>18</v>
      </c>
      <c r="F724" s="85">
        <f>SUM(F725:F725)+21</f>
        <v>21</v>
      </c>
      <c r="G724" s="85">
        <f>SUM(G725:G725)+23</f>
        <v>23</v>
      </c>
      <c r="H724" s="14" t="s">
        <v>1223</v>
      </c>
      <c r="I724" s="15" t="s">
        <v>22</v>
      </c>
      <c r="J724" s="15">
        <v>7</v>
      </c>
      <c r="K724" s="15">
        <v>9</v>
      </c>
      <c r="L724" s="39">
        <v>10</v>
      </c>
    </row>
    <row r="725" spans="1:12" ht="28.2" thickBot="1" x14ac:dyDescent="0.3">
      <c r="A725" s="123"/>
      <c r="B725" s="78"/>
      <c r="C725" s="126"/>
      <c r="D725" s="78"/>
      <c r="E725" s="87"/>
      <c r="F725" s="87"/>
      <c r="G725" s="87"/>
      <c r="H725" s="10" t="s">
        <v>1224</v>
      </c>
      <c r="I725" s="11" t="s">
        <v>22</v>
      </c>
      <c r="J725" s="11">
        <v>17</v>
      </c>
      <c r="K725" s="11">
        <v>19</v>
      </c>
      <c r="L725" s="40">
        <v>20</v>
      </c>
    </row>
    <row r="726" spans="1:12" ht="27.6" x14ac:dyDescent="0.25">
      <c r="A726" s="127" t="s">
        <v>1225</v>
      </c>
      <c r="B726" s="129" t="s">
        <v>1226</v>
      </c>
      <c r="C726" s="130"/>
      <c r="D726" s="131"/>
      <c r="E726" s="88">
        <f>E727+E728+E733+E735+E740+E743+E745+E748</f>
        <v>5662</v>
      </c>
      <c r="F726" s="88">
        <f>F727+F728+F733+F735+F740+F743+F745+F748-0.1</f>
        <v>6523.8</v>
      </c>
      <c r="G726" s="88">
        <f>G727+G728+G733+G735+G740+G743+G745+G748</f>
        <v>1138.2</v>
      </c>
      <c r="H726" s="7" t="s">
        <v>1227</v>
      </c>
      <c r="I726" s="8" t="s">
        <v>22</v>
      </c>
      <c r="J726" s="8">
        <v>4</v>
      </c>
      <c r="K726" s="8">
        <v>6</v>
      </c>
      <c r="L726" s="43">
        <v>7</v>
      </c>
    </row>
    <row r="727" spans="1:12" ht="23.25" customHeight="1" thickBot="1" x14ac:dyDescent="0.3">
      <c r="A727" s="128"/>
      <c r="B727" s="132"/>
      <c r="C727" s="133"/>
      <c r="D727" s="134"/>
      <c r="E727" s="90"/>
      <c r="F727" s="90"/>
      <c r="G727" s="90"/>
      <c r="H727" s="22" t="s">
        <v>1228</v>
      </c>
      <c r="I727" s="23" t="s">
        <v>22</v>
      </c>
      <c r="J727" s="23">
        <v>9</v>
      </c>
      <c r="K727" s="23">
        <v>9</v>
      </c>
      <c r="L727" s="38">
        <v>9</v>
      </c>
    </row>
    <row r="728" spans="1:12" ht="27.6" x14ac:dyDescent="0.25">
      <c r="A728" s="121" t="s">
        <v>1229</v>
      </c>
      <c r="B728" s="83" t="s">
        <v>1230</v>
      </c>
      <c r="C728" s="124" t="s">
        <v>1231</v>
      </c>
      <c r="D728" s="83" t="s">
        <v>40</v>
      </c>
      <c r="E728" s="85">
        <f>SUM(E729:E732)+669</f>
        <v>669</v>
      </c>
      <c r="F728" s="85">
        <f>SUM(F729:F732)+420</f>
        <v>420</v>
      </c>
      <c r="G728" s="85">
        <f>SUM(G729:G732)+430</f>
        <v>430</v>
      </c>
      <c r="H728" s="14" t="s">
        <v>1232</v>
      </c>
      <c r="I728" s="15" t="s">
        <v>29</v>
      </c>
      <c r="J728" s="15">
        <v>100</v>
      </c>
      <c r="K728" s="15"/>
      <c r="L728" s="39"/>
    </row>
    <row r="729" spans="1:12" x14ac:dyDescent="0.25">
      <c r="A729" s="122"/>
      <c r="B729" s="84"/>
      <c r="C729" s="125"/>
      <c r="D729" s="84"/>
      <c r="E729" s="86"/>
      <c r="F729" s="86"/>
      <c r="G729" s="86"/>
      <c r="H729" s="10" t="s">
        <v>1233</v>
      </c>
      <c r="I729" s="11" t="s">
        <v>29</v>
      </c>
      <c r="J729" s="11">
        <v>100</v>
      </c>
      <c r="K729" s="11"/>
      <c r="L729" s="40"/>
    </row>
    <row r="730" spans="1:12" x14ac:dyDescent="0.25">
      <c r="A730" s="122"/>
      <c r="B730" s="84"/>
      <c r="C730" s="125"/>
      <c r="D730" s="84"/>
      <c r="E730" s="86"/>
      <c r="F730" s="86"/>
      <c r="G730" s="86"/>
      <c r="H730" s="10" t="s">
        <v>1234</v>
      </c>
      <c r="I730" s="11" t="s">
        <v>29</v>
      </c>
      <c r="J730" s="11"/>
      <c r="K730" s="11">
        <v>100</v>
      </c>
      <c r="L730" s="40"/>
    </row>
    <row r="731" spans="1:12" x14ac:dyDescent="0.25">
      <c r="A731" s="122"/>
      <c r="B731" s="84"/>
      <c r="C731" s="125"/>
      <c r="D731" s="84"/>
      <c r="E731" s="86"/>
      <c r="F731" s="86"/>
      <c r="G731" s="86"/>
      <c r="H731" s="10" t="s">
        <v>1235</v>
      </c>
      <c r="I731" s="11" t="s">
        <v>22</v>
      </c>
      <c r="J731" s="11"/>
      <c r="K731" s="11"/>
      <c r="L731" s="40">
        <v>1</v>
      </c>
    </row>
    <row r="732" spans="1:12" ht="25.5" customHeight="1" thickBot="1" x14ac:dyDescent="0.3">
      <c r="A732" s="123"/>
      <c r="B732" s="78"/>
      <c r="C732" s="126"/>
      <c r="D732" s="78"/>
      <c r="E732" s="87"/>
      <c r="F732" s="87"/>
      <c r="G732" s="87"/>
      <c r="H732" s="10" t="s">
        <v>1236</v>
      </c>
      <c r="I732" s="11" t="s">
        <v>29</v>
      </c>
      <c r="J732" s="11"/>
      <c r="K732" s="11"/>
      <c r="L732" s="40">
        <v>100</v>
      </c>
    </row>
    <row r="733" spans="1:12" ht="27.6" x14ac:dyDescent="0.25">
      <c r="A733" s="121" t="s">
        <v>1237</v>
      </c>
      <c r="B733" s="83" t="s">
        <v>1238</v>
      </c>
      <c r="C733" s="124" t="s">
        <v>1206</v>
      </c>
      <c r="D733" s="83" t="s">
        <v>40</v>
      </c>
      <c r="E733" s="85">
        <f>SUM(E734:E734)+445</f>
        <v>445</v>
      </c>
      <c r="F733" s="85">
        <f>SUM(F734:F734)+500</f>
        <v>500</v>
      </c>
      <c r="G733" s="85">
        <f>SUM(G734:G734)+555</f>
        <v>555</v>
      </c>
      <c r="H733" s="14" t="s">
        <v>1239</v>
      </c>
      <c r="I733" s="15" t="s">
        <v>220</v>
      </c>
      <c r="J733" s="15">
        <v>1</v>
      </c>
      <c r="K733" s="15"/>
      <c r="L733" s="39"/>
    </row>
    <row r="734" spans="1:12" ht="28.2" thickBot="1" x14ac:dyDescent="0.3">
      <c r="A734" s="123"/>
      <c r="B734" s="78"/>
      <c r="C734" s="126"/>
      <c r="D734" s="78"/>
      <c r="E734" s="87"/>
      <c r="F734" s="87"/>
      <c r="G734" s="87"/>
      <c r="H734" s="10" t="s">
        <v>1240</v>
      </c>
      <c r="I734" s="11" t="s">
        <v>29</v>
      </c>
      <c r="J734" s="11">
        <v>30</v>
      </c>
      <c r="K734" s="11">
        <v>60</v>
      </c>
      <c r="L734" s="40">
        <v>100</v>
      </c>
    </row>
    <row r="735" spans="1:12" x14ac:dyDescent="0.25">
      <c r="A735" s="121" t="s">
        <v>1241</v>
      </c>
      <c r="B735" s="83" t="s">
        <v>1242</v>
      </c>
      <c r="C735" s="124" t="s">
        <v>1243</v>
      </c>
      <c r="D735" s="83" t="s">
        <v>40</v>
      </c>
      <c r="E735" s="85">
        <f>SUM(E736:E739)+1626</f>
        <v>1626</v>
      </c>
      <c r="F735" s="85">
        <f>SUM(F736:F739)+3500</f>
        <v>3500</v>
      </c>
      <c r="G735" s="85">
        <f>SUM(G736:G739)+51</f>
        <v>51</v>
      </c>
      <c r="H735" s="14" t="s">
        <v>1244</v>
      </c>
      <c r="I735" s="15" t="s">
        <v>29</v>
      </c>
      <c r="J735" s="15">
        <v>100</v>
      </c>
      <c r="K735" s="15"/>
      <c r="L735" s="39"/>
    </row>
    <row r="736" spans="1:12" x14ac:dyDescent="0.25">
      <c r="A736" s="122"/>
      <c r="B736" s="84"/>
      <c r="C736" s="125"/>
      <c r="D736" s="84"/>
      <c r="E736" s="86"/>
      <c r="F736" s="86"/>
      <c r="G736" s="86"/>
      <c r="H736" s="10" t="s">
        <v>931</v>
      </c>
      <c r="I736" s="11" t="s">
        <v>220</v>
      </c>
      <c r="J736" s="11">
        <v>1</v>
      </c>
      <c r="K736" s="11"/>
      <c r="L736" s="40"/>
    </row>
    <row r="737" spans="1:12" x14ac:dyDescent="0.25">
      <c r="A737" s="122"/>
      <c r="B737" s="84"/>
      <c r="C737" s="125"/>
      <c r="D737" s="84"/>
      <c r="E737" s="86"/>
      <c r="F737" s="86"/>
      <c r="G737" s="86"/>
      <c r="H737" s="10" t="s">
        <v>1245</v>
      </c>
      <c r="I737" s="11" t="s">
        <v>29</v>
      </c>
      <c r="J737" s="11">
        <v>30</v>
      </c>
      <c r="K737" s="11">
        <v>100</v>
      </c>
      <c r="L737" s="40"/>
    </row>
    <row r="738" spans="1:12" ht="22.5" customHeight="1" x14ac:dyDescent="0.25">
      <c r="A738" s="122"/>
      <c r="B738" s="84"/>
      <c r="C738" s="125"/>
      <c r="D738" s="84"/>
      <c r="E738" s="86"/>
      <c r="F738" s="86"/>
      <c r="G738" s="86"/>
      <c r="H738" s="10" t="s">
        <v>1246</v>
      </c>
      <c r="I738" s="11" t="s">
        <v>370</v>
      </c>
      <c r="J738" s="11"/>
      <c r="K738" s="11"/>
      <c r="L738" s="44">
        <v>1900</v>
      </c>
    </row>
    <row r="739" spans="1:12" ht="29.25" customHeight="1" thickBot="1" x14ac:dyDescent="0.3">
      <c r="A739" s="123"/>
      <c r="B739" s="78"/>
      <c r="C739" s="126"/>
      <c r="D739" s="78"/>
      <c r="E739" s="87"/>
      <c r="F739" s="87"/>
      <c r="G739" s="87"/>
      <c r="H739" s="10" t="s">
        <v>1247</v>
      </c>
      <c r="I739" s="11" t="s">
        <v>361</v>
      </c>
      <c r="J739" s="11"/>
      <c r="K739" s="11"/>
      <c r="L739" s="40">
        <v>80</v>
      </c>
    </row>
    <row r="740" spans="1:12" ht="33" customHeight="1" x14ac:dyDescent="0.25">
      <c r="A740" s="121" t="s">
        <v>1248</v>
      </c>
      <c r="B740" s="83" t="s">
        <v>1249</v>
      </c>
      <c r="C740" s="124" t="s">
        <v>1250</v>
      </c>
      <c r="D740" s="14"/>
      <c r="E740" s="31">
        <f>SUM(E741:E742)+0.1</f>
        <v>1977.6</v>
      </c>
      <c r="F740" s="31">
        <f>SUM(F741:F742)+0.1</f>
        <v>1321.6</v>
      </c>
      <c r="G740" s="31">
        <f>SUM(G741:G742)</f>
        <v>0</v>
      </c>
      <c r="H740" s="14" t="s">
        <v>1251</v>
      </c>
      <c r="I740" s="15" t="s">
        <v>29</v>
      </c>
      <c r="J740" s="15">
        <v>55</v>
      </c>
      <c r="K740" s="15">
        <v>100</v>
      </c>
      <c r="L740" s="39"/>
    </row>
    <row r="741" spans="1:12" x14ac:dyDescent="0.25">
      <c r="A741" s="122"/>
      <c r="B741" s="84"/>
      <c r="C741" s="125"/>
      <c r="D741" s="10" t="s">
        <v>27</v>
      </c>
      <c r="E741" s="32">
        <v>285.7</v>
      </c>
      <c r="F741" s="32">
        <v>187.3</v>
      </c>
      <c r="G741" s="32">
        <v>0</v>
      </c>
      <c r="H741" s="10" t="s">
        <v>587</v>
      </c>
      <c r="I741" s="11" t="s">
        <v>29</v>
      </c>
      <c r="J741" s="11">
        <v>55</v>
      </c>
      <c r="K741" s="11">
        <v>100</v>
      </c>
      <c r="L741" s="40"/>
    </row>
    <row r="742" spans="1:12" ht="14.4" thickBot="1" x14ac:dyDescent="0.3">
      <c r="A742" s="123"/>
      <c r="B742" s="78"/>
      <c r="C742" s="126"/>
      <c r="D742" s="10" t="s">
        <v>30</v>
      </c>
      <c r="E742" s="32">
        <v>1691.8</v>
      </c>
      <c r="F742" s="32">
        <v>1134.2</v>
      </c>
      <c r="G742" s="32">
        <v>0</v>
      </c>
      <c r="H742" s="10" t="s">
        <v>1252</v>
      </c>
      <c r="I742" s="11" t="s">
        <v>22</v>
      </c>
      <c r="J742" s="11">
        <v>2</v>
      </c>
      <c r="K742" s="11">
        <v>2</v>
      </c>
      <c r="L742" s="40"/>
    </row>
    <row r="743" spans="1:12" ht="35.25" customHeight="1" x14ac:dyDescent="0.25">
      <c r="A743" s="121" t="s">
        <v>1253</v>
      </c>
      <c r="B743" s="83" t="s">
        <v>1254</v>
      </c>
      <c r="C743" s="124" t="s">
        <v>1250</v>
      </c>
      <c r="D743" s="83" t="s">
        <v>30</v>
      </c>
      <c r="E743" s="85">
        <f>SUM(E744:E744)+150</f>
        <v>150</v>
      </c>
      <c r="F743" s="85">
        <f>SUM(F744:F744)</f>
        <v>0</v>
      </c>
      <c r="G743" s="85">
        <f>SUM(G744:G744)</f>
        <v>0</v>
      </c>
      <c r="H743" s="14" t="s">
        <v>1255</v>
      </c>
      <c r="I743" s="15" t="s">
        <v>22</v>
      </c>
      <c r="J743" s="15">
        <v>1</v>
      </c>
      <c r="K743" s="15"/>
      <c r="L743" s="39"/>
    </row>
    <row r="744" spans="1:12" ht="28.2" thickBot="1" x14ac:dyDescent="0.3">
      <c r="A744" s="123"/>
      <c r="B744" s="78"/>
      <c r="C744" s="126"/>
      <c r="D744" s="78"/>
      <c r="E744" s="87"/>
      <c r="F744" s="87"/>
      <c r="G744" s="87"/>
      <c r="H744" s="10" t="s">
        <v>1256</v>
      </c>
      <c r="I744" s="11" t="s">
        <v>269</v>
      </c>
      <c r="J744" s="11">
        <v>8</v>
      </c>
      <c r="K744" s="11"/>
      <c r="L744" s="40"/>
    </row>
    <row r="745" spans="1:12" x14ac:dyDescent="0.25">
      <c r="A745" s="121" t="s">
        <v>1257</v>
      </c>
      <c r="B745" s="83" t="s">
        <v>1258</v>
      </c>
      <c r="C745" s="124" t="s">
        <v>1250</v>
      </c>
      <c r="D745" s="14"/>
      <c r="E745" s="31">
        <f>SUM(E746:E747)</f>
        <v>114.4</v>
      </c>
      <c r="F745" s="31">
        <f>SUM(F746:F747)</f>
        <v>102.2</v>
      </c>
      <c r="G745" s="31">
        <f>SUM(G746:G747)</f>
        <v>102.2</v>
      </c>
      <c r="H745" s="83" t="s">
        <v>1259</v>
      </c>
      <c r="I745" s="98" t="s">
        <v>269</v>
      </c>
      <c r="J745" s="98">
        <v>5</v>
      </c>
      <c r="K745" s="98">
        <v>2</v>
      </c>
      <c r="L745" s="99">
        <v>1</v>
      </c>
    </row>
    <row r="746" spans="1:12" ht="19.5" customHeight="1" x14ac:dyDescent="0.25">
      <c r="A746" s="122"/>
      <c r="B746" s="84"/>
      <c r="C746" s="125"/>
      <c r="D746" s="10" t="s">
        <v>27</v>
      </c>
      <c r="E746" s="32">
        <v>17.2</v>
      </c>
      <c r="F746" s="32">
        <v>15.3</v>
      </c>
      <c r="G746" s="32">
        <v>15.3</v>
      </c>
      <c r="H746" s="84"/>
      <c r="I746" s="91"/>
      <c r="J746" s="91"/>
      <c r="K746" s="91"/>
      <c r="L746" s="97"/>
    </row>
    <row r="747" spans="1:12" ht="22.5" customHeight="1" thickBot="1" x14ac:dyDescent="0.3">
      <c r="A747" s="123"/>
      <c r="B747" s="78"/>
      <c r="C747" s="126"/>
      <c r="D747" s="10" t="s">
        <v>30</v>
      </c>
      <c r="E747" s="32">
        <v>97.2</v>
      </c>
      <c r="F747" s="32">
        <v>86.9</v>
      </c>
      <c r="G747" s="32">
        <v>86.9</v>
      </c>
      <c r="H747" s="78"/>
      <c r="I747" s="80"/>
      <c r="J747" s="80"/>
      <c r="K747" s="80"/>
      <c r="L747" s="82"/>
    </row>
    <row r="748" spans="1:12" ht="41.4" x14ac:dyDescent="0.25">
      <c r="A748" s="121" t="s">
        <v>1260</v>
      </c>
      <c r="B748" s="83" t="s">
        <v>1261</v>
      </c>
      <c r="C748" s="124" t="s">
        <v>1250</v>
      </c>
      <c r="D748" s="83" t="s">
        <v>30</v>
      </c>
      <c r="E748" s="85">
        <f>SUM(E749:E751)+680</f>
        <v>680</v>
      </c>
      <c r="F748" s="85">
        <f>SUM(F749:F751)+680.1</f>
        <v>680.1</v>
      </c>
      <c r="G748" s="85">
        <f>SUM(G749:G751)</f>
        <v>0</v>
      </c>
      <c r="H748" s="14" t="s">
        <v>1262</v>
      </c>
      <c r="I748" s="15" t="s">
        <v>29</v>
      </c>
      <c r="J748" s="15">
        <v>60</v>
      </c>
      <c r="K748" s="15">
        <v>100</v>
      </c>
      <c r="L748" s="39"/>
    </row>
    <row r="749" spans="1:12" ht="27.6" x14ac:dyDescent="0.25">
      <c r="A749" s="122"/>
      <c r="B749" s="84"/>
      <c r="C749" s="125"/>
      <c r="D749" s="84"/>
      <c r="E749" s="86"/>
      <c r="F749" s="86"/>
      <c r="G749" s="86"/>
      <c r="H749" s="10" t="s">
        <v>1263</v>
      </c>
      <c r="I749" s="11" t="s">
        <v>22</v>
      </c>
      <c r="J749" s="11">
        <v>1</v>
      </c>
      <c r="K749" s="11"/>
      <c r="L749" s="40"/>
    </row>
    <row r="750" spans="1:12" ht="27.6" x14ac:dyDescent="0.25">
      <c r="A750" s="122"/>
      <c r="B750" s="84"/>
      <c r="C750" s="125"/>
      <c r="D750" s="84"/>
      <c r="E750" s="86"/>
      <c r="F750" s="86"/>
      <c r="G750" s="86"/>
      <c r="H750" s="10" t="s">
        <v>1264</v>
      </c>
      <c r="I750" s="11" t="s">
        <v>269</v>
      </c>
      <c r="J750" s="11">
        <v>30</v>
      </c>
      <c r="K750" s="11">
        <v>10</v>
      </c>
      <c r="L750" s="40"/>
    </row>
    <row r="751" spans="1:12" ht="28.2" thickBot="1" x14ac:dyDescent="0.3">
      <c r="A751" s="123"/>
      <c r="B751" s="78"/>
      <c r="C751" s="126"/>
      <c r="D751" s="78"/>
      <c r="E751" s="87"/>
      <c r="F751" s="87"/>
      <c r="G751" s="87"/>
      <c r="H751" s="16" t="s">
        <v>1265</v>
      </c>
      <c r="I751" s="17" t="s">
        <v>269</v>
      </c>
      <c r="J751" s="17">
        <v>50</v>
      </c>
      <c r="K751" s="17">
        <v>30</v>
      </c>
      <c r="L751" s="56"/>
    </row>
    <row r="752" spans="1:12" s="3" customFormat="1" x14ac:dyDescent="0.25">
      <c r="A752" s="18"/>
      <c r="B752" s="18"/>
      <c r="C752" s="18"/>
      <c r="D752" s="19"/>
      <c r="E752" s="34"/>
      <c r="F752" s="34"/>
      <c r="G752" s="34"/>
      <c r="H752" s="19"/>
      <c r="I752" s="20"/>
      <c r="J752" s="20"/>
      <c r="K752" s="20"/>
      <c r="L752" s="20"/>
    </row>
    <row r="753" spans="1:12" s="3" customFormat="1" x14ac:dyDescent="0.25">
      <c r="A753" s="18"/>
      <c r="B753" s="18"/>
      <c r="C753" s="18"/>
      <c r="D753" s="19"/>
      <c r="E753" s="34"/>
      <c r="F753" s="34"/>
      <c r="G753" s="34"/>
      <c r="H753" s="19"/>
      <c r="I753" s="20"/>
      <c r="J753" s="20"/>
      <c r="K753" s="20"/>
      <c r="L753" s="20"/>
    </row>
    <row r="754" spans="1:12" ht="51" customHeight="1" x14ac:dyDescent="0.25">
      <c r="A754" s="57" t="s">
        <v>0</v>
      </c>
      <c r="B754" s="24" t="s">
        <v>1</v>
      </c>
      <c r="C754" s="24" t="s">
        <v>4</v>
      </c>
      <c r="D754" s="24" t="s">
        <v>5</v>
      </c>
      <c r="E754" s="24" t="s">
        <v>6</v>
      </c>
    </row>
    <row r="755" spans="1:12" ht="27.6" x14ac:dyDescent="0.25">
      <c r="A755" s="62" t="s">
        <v>1266</v>
      </c>
      <c r="B755" s="62" t="s">
        <v>1267</v>
      </c>
      <c r="C755" s="63">
        <f>SUM(C756:C765)-0.1</f>
        <v>347468.6</v>
      </c>
      <c r="D755" s="63">
        <f>SUM(D756:D765)-0.1</f>
        <v>346072.30000000005</v>
      </c>
      <c r="E755" s="63">
        <f>SUM(E756:E765)</f>
        <v>323407.10000000003</v>
      </c>
    </row>
    <row r="756" spans="1:12" x14ac:dyDescent="0.25">
      <c r="A756" s="9" t="s">
        <v>40</v>
      </c>
      <c r="B756" s="9" t="s">
        <v>1268</v>
      </c>
      <c r="C756" s="32">
        <v>155343</v>
      </c>
      <c r="D756" s="32">
        <v>166476</v>
      </c>
      <c r="E756" s="32">
        <v>175412</v>
      </c>
      <c r="F756" s="65"/>
      <c r="G756" s="65"/>
      <c r="H756" s="65"/>
    </row>
    <row r="757" spans="1:12" x14ac:dyDescent="0.25">
      <c r="A757" s="9" t="s">
        <v>520</v>
      </c>
      <c r="B757" s="9" t="s">
        <v>1269</v>
      </c>
      <c r="C757" s="32">
        <v>8500</v>
      </c>
      <c r="D757" s="32">
        <v>10000</v>
      </c>
      <c r="E757" s="32">
        <v>5000</v>
      </c>
    </row>
    <row r="758" spans="1:12" x14ac:dyDescent="0.25">
      <c r="A758" s="9" t="s">
        <v>1117</v>
      </c>
      <c r="B758" s="9" t="s">
        <v>1270</v>
      </c>
      <c r="C758" s="32">
        <v>76697.399999999994</v>
      </c>
      <c r="D758" s="32">
        <v>76697.399999999994</v>
      </c>
      <c r="E758" s="32">
        <v>76697.399999999994</v>
      </c>
    </row>
    <row r="759" spans="1:12" x14ac:dyDescent="0.25">
      <c r="A759" s="9" t="s">
        <v>154</v>
      </c>
      <c r="B759" s="9" t="s">
        <v>1271</v>
      </c>
      <c r="C759" s="32">
        <v>12001.4</v>
      </c>
      <c r="D759" s="32">
        <v>12035.1</v>
      </c>
      <c r="E759" s="32">
        <v>11971.6</v>
      </c>
    </row>
    <row r="760" spans="1:12" x14ac:dyDescent="0.25">
      <c r="A760" s="9" t="s">
        <v>27</v>
      </c>
      <c r="B760" s="9" t="s">
        <v>1272</v>
      </c>
      <c r="C760" s="32">
        <v>15963.6</v>
      </c>
      <c r="D760" s="32">
        <v>13649</v>
      </c>
      <c r="E760" s="32">
        <v>13125.4</v>
      </c>
    </row>
    <row r="761" spans="1:12" ht="27.6" x14ac:dyDescent="0.25">
      <c r="A761" s="9" t="s">
        <v>514</v>
      </c>
      <c r="B761" s="9" t="s">
        <v>1273</v>
      </c>
      <c r="C761" s="32">
        <v>9060</v>
      </c>
      <c r="D761" s="32">
        <v>5800</v>
      </c>
      <c r="E761" s="32">
        <v>5790</v>
      </c>
    </row>
    <row r="762" spans="1:12" ht="24" customHeight="1" x14ac:dyDescent="0.25">
      <c r="A762" s="9" t="s">
        <v>30</v>
      </c>
      <c r="B762" s="9" t="s">
        <v>1274</v>
      </c>
      <c r="C762" s="32">
        <v>33259.800000000003</v>
      </c>
      <c r="D762" s="32">
        <v>21003.7</v>
      </c>
      <c r="E762" s="32">
        <v>7460.4</v>
      </c>
    </row>
    <row r="763" spans="1:12" ht="22.5" customHeight="1" x14ac:dyDescent="0.25">
      <c r="A763" s="9" t="s">
        <v>108</v>
      </c>
      <c r="B763" s="9" t="s">
        <v>1275</v>
      </c>
      <c r="C763" s="32">
        <v>7262</v>
      </c>
      <c r="D763" s="32">
        <v>7293</v>
      </c>
      <c r="E763" s="32">
        <v>7336</v>
      </c>
    </row>
    <row r="764" spans="1:12" ht="27.6" x14ac:dyDescent="0.25">
      <c r="A764" s="9" t="s">
        <v>476</v>
      </c>
      <c r="B764" s="9" t="s">
        <v>1276</v>
      </c>
      <c r="C764" s="32">
        <v>28851.5</v>
      </c>
      <c r="D764" s="32">
        <v>32588.2</v>
      </c>
      <c r="E764" s="32">
        <v>20084.3</v>
      </c>
    </row>
    <row r="765" spans="1:12" ht="27.6" x14ac:dyDescent="0.25">
      <c r="A765" s="9" t="s">
        <v>364</v>
      </c>
      <c r="B765" s="9" t="s">
        <v>1277</v>
      </c>
      <c r="C765" s="32">
        <v>530</v>
      </c>
      <c r="D765" s="32">
        <v>530</v>
      </c>
      <c r="E765" s="32">
        <v>530</v>
      </c>
    </row>
    <row r="766" spans="1:12" ht="25.5" customHeight="1" x14ac:dyDescent="0.25">
      <c r="A766" s="62" t="s">
        <v>1278</v>
      </c>
      <c r="B766" s="62" t="s">
        <v>1279</v>
      </c>
      <c r="C766" s="63">
        <f>SUM(C767:C769)</f>
        <v>54334.8</v>
      </c>
      <c r="D766" s="63">
        <f>SUM(D767:D769)</f>
        <v>52106.599999999991</v>
      </c>
      <c r="E766" s="63">
        <f>SUM(E767:E769)</f>
        <v>52544.3</v>
      </c>
    </row>
    <row r="767" spans="1:12" ht="21" customHeight="1" x14ac:dyDescent="0.25">
      <c r="A767" s="9" t="s">
        <v>284</v>
      </c>
      <c r="B767" s="9" t="s">
        <v>1280</v>
      </c>
      <c r="C767" s="32">
        <v>50418.3</v>
      </c>
      <c r="D767" s="32">
        <v>49403.7</v>
      </c>
      <c r="E767" s="32">
        <v>50426.5</v>
      </c>
    </row>
    <row r="768" spans="1:12" ht="20.25" customHeight="1" x14ac:dyDescent="0.25">
      <c r="A768" s="9" t="s">
        <v>736</v>
      </c>
      <c r="B768" s="9" t="s">
        <v>1281</v>
      </c>
      <c r="C768" s="32">
        <v>2531.5</v>
      </c>
      <c r="D768" s="32">
        <v>1454.2</v>
      </c>
      <c r="E768" s="32">
        <v>893</v>
      </c>
    </row>
    <row r="769" spans="1:5" ht="22.5" customHeight="1" x14ac:dyDescent="0.25">
      <c r="A769" s="9" t="s">
        <v>282</v>
      </c>
      <c r="B769" s="9" t="s">
        <v>1282</v>
      </c>
      <c r="C769" s="32">
        <v>1385</v>
      </c>
      <c r="D769" s="32">
        <v>1248.7</v>
      </c>
      <c r="E769" s="32">
        <v>1224.8</v>
      </c>
    </row>
    <row r="770" spans="1:5" ht="27.6" x14ac:dyDescent="0.25">
      <c r="A770" s="59"/>
      <c r="B770" s="60" t="s">
        <v>1284</v>
      </c>
      <c r="C770" s="61">
        <f>C755+C766</f>
        <v>401803.39999999997</v>
      </c>
      <c r="D770" s="61">
        <f>D755+D766</f>
        <v>398178.9</v>
      </c>
      <c r="E770" s="61">
        <f>E755+E766</f>
        <v>375951.4</v>
      </c>
    </row>
  </sheetData>
  <mergeCells count="1096">
    <mergeCell ref="I745:I747"/>
    <mergeCell ref="J745:J747"/>
    <mergeCell ref="K745:K747"/>
    <mergeCell ref="L745:L747"/>
    <mergeCell ref="D748:D751"/>
    <mergeCell ref="E748:E751"/>
    <mergeCell ref="F748:F751"/>
    <mergeCell ref="G748:G751"/>
    <mergeCell ref="D165:D166"/>
    <mergeCell ref="E165:E166"/>
    <mergeCell ref="F165:F166"/>
    <mergeCell ref="G165:G166"/>
    <mergeCell ref="H206:H207"/>
    <mergeCell ref="I206:I207"/>
    <mergeCell ref="J206:J207"/>
    <mergeCell ref="K206:K207"/>
    <mergeCell ref="L206:L207"/>
    <mergeCell ref="H276:H277"/>
    <mergeCell ref="I276:I277"/>
    <mergeCell ref="J276:J277"/>
    <mergeCell ref="K276:K277"/>
    <mergeCell ref="L276:L277"/>
    <mergeCell ref="D735:D739"/>
    <mergeCell ref="E735:E739"/>
    <mergeCell ref="F735:F739"/>
    <mergeCell ref="G735:G739"/>
    <mergeCell ref="D743:D744"/>
    <mergeCell ref="E743:E744"/>
    <mergeCell ref="F743:F744"/>
    <mergeCell ref="G743:G744"/>
    <mergeCell ref="H745:H747"/>
    <mergeCell ref="E726:E727"/>
    <mergeCell ref="F726:F727"/>
    <mergeCell ref="G726:G727"/>
    <mergeCell ref="D728:D732"/>
    <mergeCell ref="E728:E732"/>
    <mergeCell ref="F728:F732"/>
    <mergeCell ref="G728:G732"/>
    <mergeCell ref="D733:D734"/>
    <mergeCell ref="E733:E734"/>
    <mergeCell ref="F733:F734"/>
    <mergeCell ref="G733:G734"/>
    <mergeCell ref="E716:E717"/>
    <mergeCell ref="F716:F717"/>
    <mergeCell ref="G716:G717"/>
    <mergeCell ref="D720:D723"/>
    <mergeCell ref="E720:E723"/>
    <mergeCell ref="F720:F723"/>
    <mergeCell ref="G720:G723"/>
    <mergeCell ref="D724:D725"/>
    <mergeCell ref="E724:E725"/>
    <mergeCell ref="F724:F725"/>
    <mergeCell ref="G724:G725"/>
    <mergeCell ref="I689:I691"/>
    <mergeCell ref="J689:J691"/>
    <mergeCell ref="K689:K691"/>
    <mergeCell ref="L689:L691"/>
    <mergeCell ref="E693:E695"/>
    <mergeCell ref="F693:F695"/>
    <mergeCell ref="G693:G695"/>
    <mergeCell ref="H696:H701"/>
    <mergeCell ref="I696:I701"/>
    <mergeCell ref="J696:J701"/>
    <mergeCell ref="K696:K701"/>
    <mergeCell ref="L696:L701"/>
    <mergeCell ref="D685:D686"/>
    <mergeCell ref="E685:E686"/>
    <mergeCell ref="F685:F686"/>
    <mergeCell ref="G685:G686"/>
    <mergeCell ref="D687:D688"/>
    <mergeCell ref="E687:E688"/>
    <mergeCell ref="F687:F688"/>
    <mergeCell ref="G687:G688"/>
    <mergeCell ref="H689:H691"/>
    <mergeCell ref="C692:D692"/>
    <mergeCell ref="H692:L692"/>
    <mergeCell ref="D670:D672"/>
    <mergeCell ref="E670:E672"/>
    <mergeCell ref="F670:F672"/>
    <mergeCell ref="G670:G672"/>
    <mergeCell ref="H677:H681"/>
    <mergeCell ref="I677:I681"/>
    <mergeCell ref="J677:J681"/>
    <mergeCell ref="K677:K681"/>
    <mergeCell ref="L677:L681"/>
    <mergeCell ref="H661:H662"/>
    <mergeCell ref="I661:I662"/>
    <mergeCell ref="J661:J662"/>
    <mergeCell ref="K661:K662"/>
    <mergeCell ref="L661:L662"/>
    <mergeCell ref="H668:H669"/>
    <mergeCell ref="I668:I669"/>
    <mergeCell ref="J668:J669"/>
    <mergeCell ref="K668:K669"/>
    <mergeCell ref="L668:L669"/>
    <mergeCell ref="H654:H656"/>
    <mergeCell ref="I654:I656"/>
    <mergeCell ref="J654:J656"/>
    <mergeCell ref="K654:K656"/>
    <mergeCell ref="L654:L656"/>
    <mergeCell ref="D657:D658"/>
    <mergeCell ref="E657:E658"/>
    <mergeCell ref="F657:F658"/>
    <mergeCell ref="G657:G658"/>
    <mergeCell ref="E637:E639"/>
    <mergeCell ref="F637:F639"/>
    <mergeCell ref="G637:G639"/>
    <mergeCell ref="D643:D645"/>
    <mergeCell ref="E643:E645"/>
    <mergeCell ref="F643:F645"/>
    <mergeCell ref="G643:G645"/>
    <mergeCell ref="E646:E648"/>
    <mergeCell ref="F646:F648"/>
    <mergeCell ref="G646:G648"/>
    <mergeCell ref="H632:H633"/>
    <mergeCell ref="I632:I633"/>
    <mergeCell ref="J632:J633"/>
    <mergeCell ref="K632:K633"/>
    <mergeCell ref="L632:L633"/>
    <mergeCell ref="H635:H636"/>
    <mergeCell ref="I635:I636"/>
    <mergeCell ref="J635:J636"/>
    <mergeCell ref="K635:K636"/>
    <mergeCell ref="L635:L636"/>
    <mergeCell ref="H624:H626"/>
    <mergeCell ref="I624:I626"/>
    <mergeCell ref="J624:J626"/>
    <mergeCell ref="K624:K626"/>
    <mergeCell ref="L624:L626"/>
    <mergeCell ref="H627:H629"/>
    <mergeCell ref="I627:I629"/>
    <mergeCell ref="J627:J629"/>
    <mergeCell ref="K627:K629"/>
    <mergeCell ref="L627:L629"/>
    <mergeCell ref="H613:H615"/>
    <mergeCell ref="I613:I615"/>
    <mergeCell ref="J613:J615"/>
    <mergeCell ref="K613:K615"/>
    <mergeCell ref="L613:L615"/>
    <mergeCell ref="H621:H622"/>
    <mergeCell ref="I621:I622"/>
    <mergeCell ref="J621:J622"/>
    <mergeCell ref="K621:K622"/>
    <mergeCell ref="L621:L622"/>
    <mergeCell ref="H602:H604"/>
    <mergeCell ref="I602:I604"/>
    <mergeCell ref="J602:J604"/>
    <mergeCell ref="K602:K604"/>
    <mergeCell ref="L602:L604"/>
    <mergeCell ref="D607:D608"/>
    <mergeCell ref="E607:E608"/>
    <mergeCell ref="F607:F608"/>
    <mergeCell ref="G607:G608"/>
    <mergeCell ref="F592:F594"/>
    <mergeCell ref="G592:G594"/>
    <mergeCell ref="D595:D597"/>
    <mergeCell ref="E595:E597"/>
    <mergeCell ref="F595:F597"/>
    <mergeCell ref="G595:G597"/>
    <mergeCell ref="D599:D600"/>
    <mergeCell ref="E599:E600"/>
    <mergeCell ref="F599:F600"/>
    <mergeCell ref="G599:G600"/>
    <mergeCell ref="E577:E582"/>
    <mergeCell ref="F577:F582"/>
    <mergeCell ref="G577:G582"/>
    <mergeCell ref="D583:D587"/>
    <mergeCell ref="E583:E587"/>
    <mergeCell ref="F583:F587"/>
    <mergeCell ref="G583:G587"/>
    <mergeCell ref="D588:D591"/>
    <mergeCell ref="E588:E591"/>
    <mergeCell ref="F588:F591"/>
    <mergeCell ref="G588:G591"/>
    <mergeCell ref="I570:I572"/>
    <mergeCell ref="J570:J572"/>
    <mergeCell ref="K570:K572"/>
    <mergeCell ref="L570:L572"/>
    <mergeCell ref="H573:H575"/>
    <mergeCell ref="I573:I575"/>
    <mergeCell ref="J573:J575"/>
    <mergeCell ref="K573:K575"/>
    <mergeCell ref="L573:L575"/>
    <mergeCell ref="D563:D567"/>
    <mergeCell ref="E563:E567"/>
    <mergeCell ref="F563:F567"/>
    <mergeCell ref="G563:G567"/>
    <mergeCell ref="D568:D569"/>
    <mergeCell ref="E568:E569"/>
    <mergeCell ref="F568:F569"/>
    <mergeCell ref="G568:G569"/>
    <mergeCell ref="H570:H572"/>
    <mergeCell ref="E548:E553"/>
    <mergeCell ref="F548:F553"/>
    <mergeCell ref="G548:G553"/>
    <mergeCell ref="D554:D560"/>
    <mergeCell ref="E554:E560"/>
    <mergeCell ref="F554:F560"/>
    <mergeCell ref="G554:G560"/>
    <mergeCell ref="D561:D562"/>
    <mergeCell ref="E561:E562"/>
    <mergeCell ref="F561:F562"/>
    <mergeCell ref="G561:G562"/>
    <mergeCell ref="A748:A751"/>
    <mergeCell ref="B748:B751"/>
    <mergeCell ref="C748:C751"/>
    <mergeCell ref="A743:A744"/>
    <mergeCell ref="B743:B744"/>
    <mergeCell ref="C743:C744"/>
    <mergeCell ref="A745:A747"/>
    <mergeCell ref="B745:B747"/>
    <mergeCell ref="C745:C747"/>
    <mergeCell ref="A735:A739"/>
    <mergeCell ref="B735:B739"/>
    <mergeCell ref="C735:C739"/>
    <mergeCell ref="A740:A742"/>
    <mergeCell ref="B740:B742"/>
    <mergeCell ref="C740:C742"/>
    <mergeCell ref="A728:A732"/>
    <mergeCell ref="B728:B732"/>
    <mergeCell ref="C728:C732"/>
    <mergeCell ref="A733:A734"/>
    <mergeCell ref="B733:B734"/>
    <mergeCell ref="E592:E594"/>
    <mergeCell ref="C733:C734"/>
    <mergeCell ref="A724:A725"/>
    <mergeCell ref="B724:B725"/>
    <mergeCell ref="C724:C725"/>
    <mergeCell ref="A726:A727"/>
    <mergeCell ref="B726:D727"/>
    <mergeCell ref="A716:A717"/>
    <mergeCell ref="B716:B717"/>
    <mergeCell ref="C716:C717"/>
    <mergeCell ref="A718:A723"/>
    <mergeCell ref="B718:B723"/>
    <mergeCell ref="C718:C723"/>
    <mergeCell ref="D716:D717"/>
    <mergeCell ref="A702:A707"/>
    <mergeCell ref="B702:B707"/>
    <mergeCell ref="C702:C707"/>
    <mergeCell ref="A708:A713"/>
    <mergeCell ref="B708:B713"/>
    <mergeCell ref="C708:C713"/>
    <mergeCell ref="A693:A695"/>
    <mergeCell ref="B693:D695"/>
    <mergeCell ref="A696:A701"/>
    <mergeCell ref="B696:B701"/>
    <mergeCell ref="C696:C701"/>
    <mergeCell ref="D706:D707"/>
    <mergeCell ref="E706:E707"/>
    <mergeCell ref="F706:F707"/>
    <mergeCell ref="G706:G707"/>
    <mergeCell ref="D708:D713"/>
    <mergeCell ref="E708:E713"/>
    <mergeCell ref="F708:F713"/>
    <mergeCell ref="G708:G713"/>
    <mergeCell ref="A687:A688"/>
    <mergeCell ref="B687:B688"/>
    <mergeCell ref="C687:C688"/>
    <mergeCell ref="A689:A691"/>
    <mergeCell ref="B689:B691"/>
    <mergeCell ref="C689:C691"/>
    <mergeCell ref="A674:A681"/>
    <mergeCell ref="B674:B681"/>
    <mergeCell ref="C674:C681"/>
    <mergeCell ref="A685:A686"/>
    <mergeCell ref="B685:B686"/>
    <mergeCell ref="C685:C686"/>
    <mergeCell ref="A663:A669"/>
    <mergeCell ref="B663:B669"/>
    <mergeCell ref="C663:C669"/>
    <mergeCell ref="A670:A672"/>
    <mergeCell ref="B670:B672"/>
    <mergeCell ref="C670:C672"/>
    <mergeCell ref="A657:A658"/>
    <mergeCell ref="B657:B658"/>
    <mergeCell ref="C657:C658"/>
    <mergeCell ref="A660:A662"/>
    <mergeCell ref="B660:B662"/>
    <mergeCell ref="C660:C662"/>
    <mergeCell ref="A646:A648"/>
    <mergeCell ref="B646:D648"/>
    <mergeCell ref="A649:A656"/>
    <mergeCell ref="B649:B656"/>
    <mergeCell ref="C649:C656"/>
    <mergeCell ref="A637:A639"/>
    <mergeCell ref="B637:D639"/>
    <mergeCell ref="A643:A645"/>
    <mergeCell ref="B643:B645"/>
    <mergeCell ref="C643:C645"/>
    <mergeCell ref="A631:A633"/>
    <mergeCell ref="B631:B633"/>
    <mergeCell ref="C631:C633"/>
    <mergeCell ref="A634:A636"/>
    <mergeCell ref="B634:B636"/>
    <mergeCell ref="C634:C636"/>
    <mergeCell ref="A623:A626"/>
    <mergeCell ref="B623:B626"/>
    <mergeCell ref="C623:C626"/>
    <mergeCell ref="A627:A629"/>
    <mergeCell ref="B627:B629"/>
    <mergeCell ref="C627:C629"/>
    <mergeCell ref="A616:A618"/>
    <mergeCell ref="B616:B618"/>
    <mergeCell ref="C616:C618"/>
    <mergeCell ref="A619:A622"/>
    <mergeCell ref="B619:B622"/>
    <mergeCell ref="C619:C622"/>
    <mergeCell ref="A609:A611"/>
    <mergeCell ref="B609:B611"/>
    <mergeCell ref="C609:C611"/>
    <mergeCell ref="A612:A615"/>
    <mergeCell ref="B612:B615"/>
    <mergeCell ref="C612:C615"/>
    <mergeCell ref="A601:A604"/>
    <mergeCell ref="B601:B604"/>
    <mergeCell ref="C601:C604"/>
    <mergeCell ref="A605:A608"/>
    <mergeCell ref="B605:B608"/>
    <mergeCell ref="C605:C608"/>
    <mergeCell ref="A595:A597"/>
    <mergeCell ref="B595:B597"/>
    <mergeCell ref="C595:C597"/>
    <mergeCell ref="A599:A600"/>
    <mergeCell ref="B599:B600"/>
    <mergeCell ref="C599:C600"/>
    <mergeCell ref="A588:A591"/>
    <mergeCell ref="B588:B591"/>
    <mergeCell ref="C588:C591"/>
    <mergeCell ref="A592:A594"/>
    <mergeCell ref="B592:B594"/>
    <mergeCell ref="C592:C594"/>
    <mergeCell ref="A577:A582"/>
    <mergeCell ref="B577:D582"/>
    <mergeCell ref="A583:A587"/>
    <mergeCell ref="B583:B587"/>
    <mergeCell ref="C583:C587"/>
    <mergeCell ref="D592:D594"/>
    <mergeCell ref="A570:A572"/>
    <mergeCell ref="B570:B572"/>
    <mergeCell ref="C570:C572"/>
    <mergeCell ref="A573:A575"/>
    <mergeCell ref="B573:B575"/>
    <mergeCell ref="C573:C575"/>
    <mergeCell ref="A563:A567"/>
    <mergeCell ref="B563:B567"/>
    <mergeCell ref="C563:C567"/>
    <mergeCell ref="A568:A569"/>
    <mergeCell ref="B568:B569"/>
    <mergeCell ref="C568:C569"/>
    <mergeCell ref="A554:A560"/>
    <mergeCell ref="B554:B560"/>
    <mergeCell ref="C554:C560"/>
    <mergeCell ref="A561:A562"/>
    <mergeCell ref="B561:B562"/>
    <mergeCell ref="C561:C562"/>
    <mergeCell ref="A543:A547"/>
    <mergeCell ref="B543:B547"/>
    <mergeCell ref="C543:C547"/>
    <mergeCell ref="A548:A553"/>
    <mergeCell ref="B548:B553"/>
    <mergeCell ref="C548:C553"/>
    <mergeCell ref="A532:A534"/>
    <mergeCell ref="B532:D534"/>
    <mergeCell ref="A535:A541"/>
    <mergeCell ref="B535:B541"/>
    <mergeCell ref="C535:C541"/>
    <mergeCell ref="A525:A527"/>
    <mergeCell ref="B525:B527"/>
    <mergeCell ref="C525:C527"/>
    <mergeCell ref="A528:A530"/>
    <mergeCell ref="B528:B530"/>
    <mergeCell ref="C528:C530"/>
    <mergeCell ref="D535:D541"/>
    <mergeCell ref="D548:D553"/>
    <mergeCell ref="A517:A519"/>
    <mergeCell ref="B517:B519"/>
    <mergeCell ref="C517:C519"/>
    <mergeCell ref="A522:A524"/>
    <mergeCell ref="B522:B524"/>
    <mergeCell ref="C522:C524"/>
    <mergeCell ref="A509:A511"/>
    <mergeCell ref="B509:D511"/>
    <mergeCell ref="A512:A516"/>
    <mergeCell ref="B512:B516"/>
    <mergeCell ref="C512:C516"/>
    <mergeCell ref="A501:A503"/>
    <mergeCell ref="B501:B503"/>
    <mergeCell ref="C501:C503"/>
    <mergeCell ref="A505:A507"/>
    <mergeCell ref="B505:B507"/>
    <mergeCell ref="C505:C507"/>
    <mergeCell ref="D501:D503"/>
    <mergeCell ref="A493:A498"/>
    <mergeCell ref="B493:B498"/>
    <mergeCell ref="C493:C498"/>
    <mergeCell ref="A499:A500"/>
    <mergeCell ref="B499:B500"/>
    <mergeCell ref="C499:C500"/>
    <mergeCell ref="A480:A483"/>
    <mergeCell ref="B480:B483"/>
    <mergeCell ref="C480:C483"/>
    <mergeCell ref="A484:A492"/>
    <mergeCell ref="B484:B492"/>
    <mergeCell ref="C484:C492"/>
    <mergeCell ref="C472:D472"/>
    <mergeCell ref="H472:L472"/>
    <mergeCell ref="A473:A474"/>
    <mergeCell ref="B473:D474"/>
    <mergeCell ref="A475:A479"/>
    <mergeCell ref="B475:B479"/>
    <mergeCell ref="C475:C479"/>
    <mergeCell ref="D481:D483"/>
    <mergeCell ref="E481:E483"/>
    <mergeCell ref="F481:F483"/>
    <mergeCell ref="G481:G483"/>
    <mergeCell ref="D484:D492"/>
    <mergeCell ref="E484:E492"/>
    <mergeCell ref="F484:F492"/>
    <mergeCell ref="G484:G492"/>
    <mergeCell ref="D499:D500"/>
    <mergeCell ref="E499:E500"/>
    <mergeCell ref="F499:F500"/>
    <mergeCell ref="G499:G500"/>
    <mergeCell ref="D493:D498"/>
    <mergeCell ref="A464:A465"/>
    <mergeCell ref="B464:B465"/>
    <mergeCell ref="C464:C465"/>
    <mergeCell ref="A468:A470"/>
    <mergeCell ref="B468:B470"/>
    <mergeCell ref="C468:C470"/>
    <mergeCell ref="B457:D457"/>
    <mergeCell ref="A458:A461"/>
    <mergeCell ref="B458:B461"/>
    <mergeCell ref="C458:C461"/>
    <mergeCell ref="A462:A463"/>
    <mergeCell ref="B462:B463"/>
    <mergeCell ref="C462:C463"/>
    <mergeCell ref="D464:D465"/>
    <mergeCell ref="A449:A451"/>
    <mergeCell ref="B449:B451"/>
    <mergeCell ref="C449:C451"/>
    <mergeCell ref="A454:A456"/>
    <mergeCell ref="B454:B456"/>
    <mergeCell ref="C454:C456"/>
    <mergeCell ref="D462:D463"/>
    <mergeCell ref="A452:A453"/>
    <mergeCell ref="B452:B453"/>
    <mergeCell ref="C452:C453"/>
    <mergeCell ref="A442:A445"/>
    <mergeCell ref="B442:B445"/>
    <mergeCell ref="C442:C445"/>
    <mergeCell ref="A446:A448"/>
    <mergeCell ref="B446:D448"/>
    <mergeCell ref="A436:A437"/>
    <mergeCell ref="B436:B437"/>
    <mergeCell ref="C436:C437"/>
    <mergeCell ref="A439:A441"/>
    <mergeCell ref="B439:B441"/>
    <mergeCell ref="C439:C441"/>
    <mergeCell ref="A428:A433"/>
    <mergeCell ref="B428:B433"/>
    <mergeCell ref="C428:C433"/>
    <mergeCell ref="A434:A435"/>
    <mergeCell ref="B434:B435"/>
    <mergeCell ref="C434:C435"/>
    <mergeCell ref="D436:D437"/>
    <mergeCell ref="A413:A415"/>
    <mergeCell ref="B413:B415"/>
    <mergeCell ref="C413:C415"/>
    <mergeCell ref="A416:A427"/>
    <mergeCell ref="B416:B427"/>
    <mergeCell ref="C416:C427"/>
    <mergeCell ref="A403:A408"/>
    <mergeCell ref="B403:B408"/>
    <mergeCell ref="C403:C408"/>
    <mergeCell ref="A409:A412"/>
    <mergeCell ref="B409:B412"/>
    <mergeCell ref="C409:C412"/>
    <mergeCell ref="A390:A398"/>
    <mergeCell ref="B390:B398"/>
    <mergeCell ref="C390:C398"/>
    <mergeCell ref="A399:A402"/>
    <mergeCell ref="B399:B402"/>
    <mergeCell ref="C399:C402"/>
    <mergeCell ref="A382:A387"/>
    <mergeCell ref="B382:B387"/>
    <mergeCell ref="C382:C387"/>
    <mergeCell ref="C388:D388"/>
    <mergeCell ref="H388:L388"/>
    <mergeCell ref="A375:A378"/>
    <mergeCell ref="B375:D378"/>
    <mergeCell ref="A379:A381"/>
    <mergeCell ref="B379:B381"/>
    <mergeCell ref="C379:C381"/>
    <mergeCell ref="A358:A367"/>
    <mergeCell ref="B358:B367"/>
    <mergeCell ref="C358:C367"/>
    <mergeCell ref="A368:A374"/>
    <mergeCell ref="B368:B374"/>
    <mergeCell ref="C368:C374"/>
    <mergeCell ref="D368:D374"/>
    <mergeCell ref="E368:E374"/>
    <mergeCell ref="F368:F374"/>
    <mergeCell ref="G368:G374"/>
    <mergeCell ref="E375:E378"/>
    <mergeCell ref="F375:F378"/>
    <mergeCell ref="G375:G378"/>
    <mergeCell ref="D379:D381"/>
    <mergeCell ref="E379:E381"/>
    <mergeCell ref="F379:F381"/>
    <mergeCell ref="G379:G381"/>
    <mergeCell ref="D382:D387"/>
    <mergeCell ref="A349:A351"/>
    <mergeCell ref="B349:D351"/>
    <mergeCell ref="A352:A355"/>
    <mergeCell ref="B352:B355"/>
    <mergeCell ref="C352:C355"/>
    <mergeCell ref="A335:A343"/>
    <mergeCell ref="B335:B343"/>
    <mergeCell ref="C335:C343"/>
    <mergeCell ref="A344:A347"/>
    <mergeCell ref="B344:B347"/>
    <mergeCell ref="C344:C347"/>
    <mergeCell ref="D335:D343"/>
    <mergeCell ref="A326:A327"/>
    <mergeCell ref="B326:B327"/>
    <mergeCell ref="C326:C327"/>
    <mergeCell ref="A331:A333"/>
    <mergeCell ref="B331:B333"/>
    <mergeCell ref="C331:C333"/>
    <mergeCell ref="A319:A321"/>
    <mergeCell ref="B319:D321"/>
    <mergeCell ref="A323:A325"/>
    <mergeCell ref="B323:B325"/>
    <mergeCell ref="C323:C325"/>
    <mergeCell ref="A314:A316"/>
    <mergeCell ref="B314:B316"/>
    <mergeCell ref="C314:C316"/>
    <mergeCell ref="C318:D318"/>
    <mergeCell ref="H318:L318"/>
    <mergeCell ref="A307:A310"/>
    <mergeCell ref="B307:B310"/>
    <mergeCell ref="C307:C310"/>
    <mergeCell ref="A311:A313"/>
    <mergeCell ref="B311:B313"/>
    <mergeCell ref="C311:C313"/>
    <mergeCell ref="H307:H310"/>
    <mergeCell ref="I307:I310"/>
    <mergeCell ref="J307:J310"/>
    <mergeCell ref="K307:K310"/>
    <mergeCell ref="L307:L310"/>
    <mergeCell ref="H312:H313"/>
    <mergeCell ref="I312:I313"/>
    <mergeCell ref="J312:J313"/>
    <mergeCell ref="K312:K313"/>
    <mergeCell ref="L312:L313"/>
    <mergeCell ref="D314:D316"/>
    <mergeCell ref="E314:E316"/>
    <mergeCell ref="F314:F316"/>
    <mergeCell ref="D323:D325"/>
    <mergeCell ref="E323:E325"/>
    <mergeCell ref="F323:F325"/>
    <mergeCell ref="A301:A303"/>
    <mergeCell ref="B301:B303"/>
    <mergeCell ref="C301:C303"/>
    <mergeCell ref="A304:A306"/>
    <mergeCell ref="B304:B306"/>
    <mergeCell ref="C304:C306"/>
    <mergeCell ref="A287:A297"/>
    <mergeCell ref="B287:B297"/>
    <mergeCell ref="C287:C297"/>
    <mergeCell ref="A299:A300"/>
    <mergeCell ref="B299:D300"/>
    <mergeCell ref="A278:A281"/>
    <mergeCell ref="B278:B281"/>
    <mergeCell ref="C278:C281"/>
    <mergeCell ref="A282:A285"/>
    <mergeCell ref="B282:B285"/>
    <mergeCell ref="C282:C285"/>
    <mergeCell ref="D289:D297"/>
    <mergeCell ref="A271:A275"/>
    <mergeCell ref="B271:B275"/>
    <mergeCell ref="C271:C275"/>
    <mergeCell ref="A276:A277"/>
    <mergeCell ref="B276:B277"/>
    <mergeCell ref="C276:C277"/>
    <mergeCell ref="A263:A267"/>
    <mergeCell ref="B263:B267"/>
    <mergeCell ref="C263:C267"/>
    <mergeCell ref="A268:A270"/>
    <mergeCell ref="B268:B270"/>
    <mergeCell ref="C268:C270"/>
    <mergeCell ref="A251:A258"/>
    <mergeCell ref="B251:D258"/>
    <mergeCell ref="A259:A262"/>
    <mergeCell ref="B259:B262"/>
    <mergeCell ref="C259:C262"/>
    <mergeCell ref="A242:A243"/>
    <mergeCell ref="B242:B243"/>
    <mergeCell ref="C242:C243"/>
    <mergeCell ref="A244:A246"/>
    <mergeCell ref="B244:B246"/>
    <mergeCell ref="C244:C246"/>
    <mergeCell ref="A233:A238"/>
    <mergeCell ref="B233:B238"/>
    <mergeCell ref="C233:C238"/>
    <mergeCell ref="A239:A241"/>
    <mergeCell ref="B239:B241"/>
    <mergeCell ref="C239:C241"/>
    <mergeCell ref="A212:A229"/>
    <mergeCell ref="B212:B229"/>
    <mergeCell ref="C212:C229"/>
    <mergeCell ref="A230:A231"/>
    <mergeCell ref="B230:B231"/>
    <mergeCell ref="C230:C231"/>
    <mergeCell ref="C208:D208"/>
    <mergeCell ref="H208:L208"/>
    <mergeCell ref="B209:D209"/>
    <mergeCell ref="A210:A211"/>
    <mergeCell ref="B210:B211"/>
    <mergeCell ref="C210:C211"/>
    <mergeCell ref="D230:D231"/>
    <mergeCell ref="E230:E231"/>
    <mergeCell ref="F230:F231"/>
    <mergeCell ref="G230:G231"/>
    <mergeCell ref="A203:A204"/>
    <mergeCell ref="B203:D204"/>
    <mergeCell ref="A205:A207"/>
    <mergeCell ref="B205:B207"/>
    <mergeCell ref="C205:C207"/>
    <mergeCell ref="A199:A200"/>
    <mergeCell ref="B199:B200"/>
    <mergeCell ref="C199:C200"/>
    <mergeCell ref="A201:A202"/>
    <mergeCell ref="B201:B202"/>
    <mergeCell ref="C201:C202"/>
    <mergeCell ref="E203:E204"/>
    <mergeCell ref="F203:F204"/>
    <mergeCell ref="G203:G204"/>
    <mergeCell ref="D212:D229"/>
    <mergeCell ref="E212:E229"/>
    <mergeCell ref="F212:F229"/>
    <mergeCell ref="G212:G229"/>
    <mergeCell ref="D210:D211"/>
    <mergeCell ref="E210:E211"/>
    <mergeCell ref="F210:F211"/>
    <mergeCell ref="G210:G211"/>
    <mergeCell ref="A194:A195"/>
    <mergeCell ref="B194:B195"/>
    <mergeCell ref="C194:C195"/>
    <mergeCell ref="A196:A198"/>
    <mergeCell ref="B196:B198"/>
    <mergeCell ref="C196:C198"/>
    <mergeCell ref="A188:A191"/>
    <mergeCell ref="B188:B191"/>
    <mergeCell ref="C188:C191"/>
    <mergeCell ref="A192:A193"/>
    <mergeCell ref="B192:B193"/>
    <mergeCell ref="C192:C193"/>
    <mergeCell ref="A182:A184"/>
    <mergeCell ref="B182:B184"/>
    <mergeCell ref="C182:C184"/>
    <mergeCell ref="A185:A187"/>
    <mergeCell ref="B185:B187"/>
    <mergeCell ref="C185:C187"/>
    <mergeCell ref="A172:A175"/>
    <mergeCell ref="B172:D175"/>
    <mergeCell ref="A176:A181"/>
    <mergeCell ref="B176:B181"/>
    <mergeCell ref="C176:C181"/>
    <mergeCell ref="A167:A169"/>
    <mergeCell ref="B167:B169"/>
    <mergeCell ref="C167:C169"/>
    <mergeCell ref="C171:D171"/>
    <mergeCell ref="H171:L171"/>
    <mergeCell ref="A162:A164"/>
    <mergeCell ref="B162:B164"/>
    <mergeCell ref="C162:C164"/>
    <mergeCell ref="A165:A166"/>
    <mergeCell ref="B165:B166"/>
    <mergeCell ref="C165:C166"/>
    <mergeCell ref="A153:A156"/>
    <mergeCell ref="B153:B156"/>
    <mergeCell ref="C153:C156"/>
    <mergeCell ref="B159:D159"/>
    <mergeCell ref="A160:A161"/>
    <mergeCell ref="B160:B161"/>
    <mergeCell ref="C160:C161"/>
    <mergeCell ref="E153:E156"/>
    <mergeCell ref="F153:F156"/>
    <mergeCell ref="G153:G156"/>
    <mergeCell ref="D160:D161"/>
    <mergeCell ref="E160:E161"/>
    <mergeCell ref="F160:F161"/>
    <mergeCell ref="G160:G161"/>
    <mergeCell ref="D162:D164"/>
    <mergeCell ref="E162:E164"/>
    <mergeCell ref="A144:A148"/>
    <mergeCell ref="B144:B148"/>
    <mergeCell ref="C144:C148"/>
    <mergeCell ref="A149:A152"/>
    <mergeCell ref="B149:B152"/>
    <mergeCell ref="C149:C152"/>
    <mergeCell ref="D153:D156"/>
    <mergeCell ref="A131:A139"/>
    <mergeCell ref="B131:B139"/>
    <mergeCell ref="C131:C139"/>
    <mergeCell ref="A140:A143"/>
    <mergeCell ref="B140:B143"/>
    <mergeCell ref="C140:C143"/>
    <mergeCell ref="H11:L11"/>
    <mergeCell ref="C122:D122"/>
    <mergeCell ref="A123:A130"/>
    <mergeCell ref="B123:D130"/>
    <mergeCell ref="H122:L122"/>
    <mergeCell ref="B110:D110"/>
    <mergeCell ref="A117:A118"/>
    <mergeCell ref="B117:B118"/>
    <mergeCell ref="C117:C118"/>
    <mergeCell ref="A120:A121"/>
    <mergeCell ref="B120:B121"/>
    <mergeCell ref="C120:C121"/>
    <mergeCell ref="B104:D104"/>
    <mergeCell ref="A105:A106"/>
    <mergeCell ref="B105:B106"/>
    <mergeCell ref="C105:C106"/>
    <mergeCell ref="A108:A109"/>
    <mergeCell ref="B108:B109"/>
    <mergeCell ref="C108:C109"/>
    <mergeCell ref="A94:A96"/>
    <mergeCell ref="B94:B96"/>
    <mergeCell ref="C94:C96"/>
    <mergeCell ref="A98:A99"/>
    <mergeCell ref="B98:B99"/>
    <mergeCell ref="C98:C99"/>
    <mergeCell ref="A69:A70"/>
    <mergeCell ref="B69:B70"/>
    <mergeCell ref="C69:C70"/>
    <mergeCell ref="A71:A76"/>
    <mergeCell ref="B71:B76"/>
    <mergeCell ref="C71:C76"/>
    <mergeCell ref="D105:D106"/>
    <mergeCell ref="A56:A64"/>
    <mergeCell ref="B56:B64"/>
    <mergeCell ref="C56:C64"/>
    <mergeCell ref="A66:A68"/>
    <mergeCell ref="B66:B68"/>
    <mergeCell ref="C66:C68"/>
    <mergeCell ref="D71:D76"/>
    <mergeCell ref="B8:B10"/>
    <mergeCell ref="C8:C10"/>
    <mergeCell ref="D8:D10"/>
    <mergeCell ref="E8:E10"/>
    <mergeCell ref="A54:A55"/>
    <mergeCell ref="B54:D55"/>
    <mergeCell ref="D50:D52"/>
    <mergeCell ref="D66:D68"/>
    <mergeCell ref="A42:A45"/>
    <mergeCell ref="B42:B45"/>
    <mergeCell ref="C42:C45"/>
    <mergeCell ref="A46:A48"/>
    <mergeCell ref="B46:B48"/>
    <mergeCell ref="C46:C48"/>
    <mergeCell ref="A30:A36"/>
    <mergeCell ref="B30:B36"/>
    <mergeCell ref="C30:C36"/>
    <mergeCell ref="A38:A40"/>
    <mergeCell ref="B38:B40"/>
    <mergeCell ref="C38:C40"/>
    <mergeCell ref="F46:F48"/>
    <mergeCell ref="G46:G48"/>
    <mergeCell ref="B41:D41"/>
    <mergeCell ref="D30:D36"/>
    <mergeCell ref="H9:H10"/>
    <mergeCell ref="I9:I10"/>
    <mergeCell ref="H8:L8"/>
    <mergeCell ref="J9:L9"/>
    <mergeCell ref="E16:E20"/>
    <mergeCell ref="F16:F20"/>
    <mergeCell ref="G16:G20"/>
    <mergeCell ref="D16:D20"/>
    <mergeCell ref="D23:D27"/>
    <mergeCell ref="E23:E27"/>
    <mergeCell ref="F23:F27"/>
    <mergeCell ref="G23:G27"/>
    <mergeCell ref="A50:A52"/>
    <mergeCell ref="B50:B52"/>
    <mergeCell ref="C50:C52"/>
    <mergeCell ref="A21:A27"/>
    <mergeCell ref="B21:B27"/>
    <mergeCell ref="C21:C27"/>
    <mergeCell ref="A28:A29"/>
    <mergeCell ref="B28:B29"/>
    <mergeCell ref="C28:C29"/>
    <mergeCell ref="C11:D11"/>
    <mergeCell ref="A12:A13"/>
    <mergeCell ref="B12:D13"/>
    <mergeCell ref="A14:A20"/>
    <mergeCell ref="B14:B20"/>
    <mergeCell ref="C14:C20"/>
    <mergeCell ref="A8:A10"/>
    <mergeCell ref="F8:F10"/>
    <mergeCell ref="G8:G10"/>
    <mergeCell ref="E50:E52"/>
    <mergeCell ref="F50:F52"/>
    <mergeCell ref="G50:G52"/>
    <mergeCell ref="E54:E55"/>
    <mergeCell ref="F54:F55"/>
    <mergeCell ref="G54:G55"/>
    <mergeCell ref="D59:D64"/>
    <mergeCell ref="E59:E64"/>
    <mergeCell ref="F59:F64"/>
    <mergeCell ref="G59:G64"/>
    <mergeCell ref="E66:E68"/>
    <mergeCell ref="F66:F68"/>
    <mergeCell ref="G66:G68"/>
    <mergeCell ref="D69:D70"/>
    <mergeCell ref="E69:E70"/>
    <mergeCell ref="F69:F70"/>
    <mergeCell ref="G69:G70"/>
    <mergeCell ref="D28:D29"/>
    <mergeCell ref="E28:E29"/>
    <mergeCell ref="F28:F29"/>
    <mergeCell ref="G28:G29"/>
    <mergeCell ref="E30:E36"/>
    <mergeCell ref="F30:F36"/>
    <mergeCell ref="G30:G36"/>
    <mergeCell ref="D44:D45"/>
    <mergeCell ref="E44:E45"/>
    <mergeCell ref="F44:F45"/>
    <mergeCell ref="G44:G45"/>
    <mergeCell ref="D46:D48"/>
    <mergeCell ref="E46:E48"/>
    <mergeCell ref="E71:E76"/>
    <mergeCell ref="F71:F76"/>
    <mergeCell ref="G71:G76"/>
    <mergeCell ref="E105:E106"/>
    <mergeCell ref="F105:F106"/>
    <mergeCell ref="G105:G106"/>
    <mergeCell ref="D108:D109"/>
    <mergeCell ref="E108:E109"/>
    <mergeCell ref="F108:F109"/>
    <mergeCell ref="G108:G109"/>
    <mergeCell ref="D117:D118"/>
    <mergeCell ref="E117:E118"/>
    <mergeCell ref="F117:F118"/>
    <mergeCell ref="G117:G118"/>
    <mergeCell ref="D120:D121"/>
    <mergeCell ref="E120:E121"/>
    <mergeCell ref="F120:F121"/>
    <mergeCell ref="G120:G121"/>
    <mergeCell ref="B79:D79"/>
    <mergeCell ref="E123:E130"/>
    <mergeCell ref="F123:F130"/>
    <mergeCell ref="G123:G130"/>
    <mergeCell ref="D136:D139"/>
    <mergeCell ref="E136:E139"/>
    <mergeCell ref="F136:F139"/>
    <mergeCell ref="G136:G139"/>
    <mergeCell ref="D140:D143"/>
    <mergeCell ref="E140:E143"/>
    <mergeCell ref="F140:F143"/>
    <mergeCell ref="G140:G143"/>
    <mergeCell ref="D144:D148"/>
    <mergeCell ref="E144:E148"/>
    <mergeCell ref="F144:F148"/>
    <mergeCell ref="G144:G148"/>
    <mergeCell ref="D149:D152"/>
    <mergeCell ref="E149:E152"/>
    <mergeCell ref="F149:F152"/>
    <mergeCell ref="G149:G152"/>
    <mergeCell ref="F162:F164"/>
    <mergeCell ref="G162:G164"/>
    <mergeCell ref="E172:E175"/>
    <mergeCell ref="F172:F175"/>
    <mergeCell ref="G172:G175"/>
    <mergeCell ref="D176:D181"/>
    <mergeCell ref="E176:E181"/>
    <mergeCell ref="F176:F181"/>
    <mergeCell ref="G176:G181"/>
    <mergeCell ref="D189:D191"/>
    <mergeCell ref="E189:E191"/>
    <mergeCell ref="F189:F191"/>
    <mergeCell ref="G189:G191"/>
    <mergeCell ref="D194:D195"/>
    <mergeCell ref="E194:E195"/>
    <mergeCell ref="F194:F195"/>
    <mergeCell ref="G194:G195"/>
    <mergeCell ref="H192:H193"/>
    <mergeCell ref="I192:I193"/>
    <mergeCell ref="J192:J193"/>
    <mergeCell ref="K192:K193"/>
    <mergeCell ref="L192:L193"/>
    <mergeCell ref="D197:D198"/>
    <mergeCell ref="E197:E198"/>
    <mergeCell ref="F197:F198"/>
    <mergeCell ref="G197:G198"/>
    <mergeCell ref="D199:D200"/>
    <mergeCell ref="E199:E200"/>
    <mergeCell ref="F199:F200"/>
    <mergeCell ref="G199:G200"/>
    <mergeCell ref="D201:D202"/>
    <mergeCell ref="E201:E202"/>
    <mergeCell ref="F201:F202"/>
    <mergeCell ref="G201:G202"/>
    <mergeCell ref="D233:D238"/>
    <mergeCell ref="E233:E238"/>
    <mergeCell ref="F233:F238"/>
    <mergeCell ref="G233:G238"/>
    <mergeCell ref="D242:D243"/>
    <mergeCell ref="E242:E243"/>
    <mergeCell ref="F242:F243"/>
    <mergeCell ref="G242:G243"/>
    <mergeCell ref="D244:D246"/>
    <mergeCell ref="E244:E246"/>
    <mergeCell ref="F244:F246"/>
    <mergeCell ref="G244:G246"/>
    <mergeCell ref="E251:E258"/>
    <mergeCell ref="F251:F258"/>
    <mergeCell ref="G251:G258"/>
    <mergeCell ref="D261:D262"/>
    <mergeCell ref="E261:E262"/>
    <mergeCell ref="F261:F262"/>
    <mergeCell ref="G261:G262"/>
    <mergeCell ref="H263:H267"/>
    <mergeCell ref="I263:I267"/>
    <mergeCell ref="J263:J267"/>
    <mergeCell ref="K263:K267"/>
    <mergeCell ref="L263:L267"/>
    <mergeCell ref="H268:H270"/>
    <mergeCell ref="I268:I270"/>
    <mergeCell ref="J268:J270"/>
    <mergeCell ref="K268:K270"/>
    <mergeCell ref="L268:L270"/>
    <mergeCell ref="D273:D275"/>
    <mergeCell ref="E273:E275"/>
    <mergeCell ref="F273:F275"/>
    <mergeCell ref="G273:G275"/>
    <mergeCell ref="D284:D285"/>
    <mergeCell ref="E284:E285"/>
    <mergeCell ref="F284:F285"/>
    <mergeCell ref="G284:G285"/>
    <mergeCell ref="E289:E297"/>
    <mergeCell ref="F289:F297"/>
    <mergeCell ref="G289:G297"/>
    <mergeCell ref="E299:E300"/>
    <mergeCell ref="F299:F300"/>
    <mergeCell ref="G299:G300"/>
    <mergeCell ref="H301:H303"/>
    <mergeCell ref="I301:I303"/>
    <mergeCell ref="J301:J303"/>
    <mergeCell ref="K301:K303"/>
    <mergeCell ref="L301:L303"/>
    <mergeCell ref="D304:D306"/>
    <mergeCell ref="E304:E306"/>
    <mergeCell ref="F304:F306"/>
    <mergeCell ref="G304:G306"/>
    <mergeCell ref="G314:G316"/>
    <mergeCell ref="E319:E321"/>
    <mergeCell ref="F319:F321"/>
    <mergeCell ref="G319:G321"/>
    <mergeCell ref="G323:G325"/>
    <mergeCell ref="D331:D333"/>
    <mergeCell ref="E331:E333"/>
    <mergeCell ref="F331:F333"/>
    <mergeCell ref="G331:G333"/>
    <mergeCell ref="E335:E343"/>
    <mergeCell ref="F335:F343"/>
    <mergeCell ref="G335:G343"/>
    <mergeCell ref="D344:D347"/>
    <mergeCell ref="E344:E347"/>
    <mergeCell ref="F344:F347"/>
    <mergeCell ref="G344:G347"/>
    <mergeCell ref="E349:E351"/>
    <mergeCell ref="F349:F351"/>
    <mergeCell ref="G349:G351"/>
    <mergeCell ref="H354:H355"/>
    <mergeCell ref="I354:I355"/>
    <mergeCell ref="J354:J355"/>
    <mergeCell ref="K354:K355"/>
    <mergeCell ref="L354:L355"/>
    <mergeCell ref="D358:D367"/>
    <mergeCell ref="E358:E367"/>
    <mergeCell ref="G358:G367"/>
    <mergeCell ref="F358:F367"/>
    <mergeCell ref="E382:E387"/>
    <mergeCell ref="F382:F387"/>
    <mergeCell ref="G382:G387"/>
    <mergeCell ref="D406:D408"/>
    <mergeCell ref="E406:E408"/>
    <mergeCell ref="F406:F408"/>
    <mergeCell ref="G406:G408"/>
    <mergeCell ref="D411:D412"/>
    <mergeCell ref="E411:E412"/>
    <mergeCell ref="F411:F412"/>
    <mergeCell ref="G411:G412"/>
    <mergeCell ref="B389:D389"/>
    <mergeCell ref="H413:H415"/>
    <mergeCell ref="I413:I415"/>
    <mergeCell ref="J413:J415"/>
    <mergeCell ref="K413:K415"/>
    <mergeCell ref="L413:L415"/>
    <mergeCell ref="D419:D427"/>
    <mergeCell ref="E419:E427"/>
    <mergeCell ref="F419:F427"/>
    <mergeCell ref="G419:G427"/>
    <mergeCell ref="D428:D433"/>
    <mergeCell ref="E428:E433"/>
    <mergeCell ref="F428:F433"/>
    <mergeCell ref="G428:G433"/>
    <mergeCell ref="D434:D435"/>
    <mergeCell ref="E434:E435"/>
    <mergeCell ref="F434:F435"/>
    <mergeCell ref="G434:G435"/>
    <mergeCell ref="E436:E437"/>
    <mergeCell ref="F436:F437"/>
    <mergeCell ref="G436:G437"/>
    <mergeCell ref="H439:H441"/>
    <mergeCell ref="I439:I441"/>
    <mergeCell ref="J439:J441"/>
    <mergeCell ref="K439:K441"/>
    <mergeCell ref="L439:L441"/>
    <mergeCell ref="E446:E448"/>
    <mergeCell ref="F446:F448"/>
    <mergeCell ref="G446:G448"/>
    <mergeCell ref="H454:H456"/>
    <mergeCell ref="I454:I456"/>
    <mergeCell ref="J454:J456"/>
    <mergeCell ref="K454:K456"/>
    <mergeCell ref="L454:L456"/>
    <mergeCell ref="H459:H461"/>
    <mergeCell ref="I459:I461"/>
    <mergeCell ref="J459:J461"/>
    <mergeCell ref="K459:K461"/>
    <mergeCell ref="L459:L461"/>
    <mergeCell ref="E509:E511"/>
    <mergeCell ref="F509:F511"/>
    <mergeCell ref="G509:G511"/>
    <mergeCell ref="H513:H516"/>
    <mergeCell ref="I513:I516"/>
    <mergeCell ref="L513:L516"/>
    <mergeCell ref="H517:H519"/>
    <mergeCell ref="I517:I519"/>
    <mergeCell ref="J517:J519"/>
    <mergeCell ref="K517:K519"/>
    <mergeCell ref="L517:L519"/>
    <mergeCell ref="E462:E463"/>
    <mergeCell ref="F462:F463"/>
    <mergeCell ref="G462:G463"/>
    <mergeCell ref="E464:E465"/>
    <mergeCell ref="F464:F465"/>
    <mergeCell ref="G464:G465"/>
    <mergeCell ref="H468:H470"/>
    <mergeCell ref="I468:I470"/>
    <mergeCell ref="J468:J470"/>
    <mergeCell ref="K468:K470"/>
    <mergeCell ref="L468:L470"/>
    <mergeCell ref="E473:E474"/>
    <mergeCell ref="F473:F474"/>
    <mergeCell ref="G473:G474"/>
    <mergeCell ref="E493:E498"/>
    <mergeCell ref="F493:F498"/>
    <mergeCell ref="G493:G498"/>
    <mergeCell ref="A6:L6"/>
    <mergeCell ref="H523:H524"/>
    <mergeCell ref="I523:I524"/>
    <mergeCell ref="J523:J524"/>
    <mergeCell ref="K523:K524"/>
    <mergeCell ref="L523:L524"/>
    <mergeCell ref="D543:D547"/>
    <mergeCell ref="E543:E547"/>
    <mergeCell ref="F543:F547"/>
    <mergeCell ref="G543:G547"/>
    <mergeCell ref="E532:E534"/>
    <mergeCell ref="F532:F534"/>
    <mergeCell ref="G532:G534"/>
    <mergeCell ref="J513:J516"/>
    <mergeCell ref="K513:K516"/>
    <mergeCell ref="C531:D531"/>
    <mergeCell ref="H531:L531"/>
    <mergeCell ref="H529:H530"/>
    <mergeCell ref="I529:I530"/>
    <mergeCell ref="J529:J530"/>
    <mergeCell ref="K529:K530"/>
    <mergeCell ref="L529:L530"/>
    <mergeCell ref="E535:E541"/>
    <mergeCell ref="F535:F541"/>
    <mergeCell ref="G535:G541"/>
    <mergeCell ref="E501:E503"/>
    <mergeCell ref="F501:F503"/>
    <mergeCell ref="G501:G503"/>
    <mergeCell ref="D505:D507"/>
    <mergeCell ref="E505:E507"/>
    <mergeCell ref="F505:F507"/>
    <mergeCell ref="G505:G507"/>
  </mergeCells>
  <pageMargins left="0.4" right="0.4" top="0.4" bottom="0.4" header="0.4" footer="0.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Planas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Dovilė Jozonienė</dc:creator>
  <cp:lastModifiedBy>Rasa Macienė</cp:lastModifiedBy>
  <dcterms:created xsi:type="dcterms:W3CDTF">2025-12-08T08:21:53Z</dcterms:created>
  <dcterms:modified xsi:type="dcterms:W3CDTF">2025-12-18T09:17:22Z</dcterms:modified>
</cp:coreProperties>
</file>